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20115" windowHeight="7485" activeTab="6"/>
  </bookViews>
  <sheets>
    <sheet name="aktiva" sheetId="4" r:id="rId1"/>
    <sheet name="pasivi" sheetId="5" r:id="rId2"/>
    <sheet name="ardh-shpnat" sheetId="2" r:id="rId3"/>
    <sheet name="ardh-shp" sheetId="3" r:id="rId4"/>
    <sheet name="amort" sheetId="1" r:id="rId5"/>
    <sheet name="kapitali" sheetId="6" r:id="rId6"/>
    <sheet name="kopertina" sheetId="7" r:id="rId7"/>
    <sheet name="fluksi parav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25725"/>
</workbook>
</file>

<file path=xl/calcChain.xml><?xml version="1.0" encoding="utf-8"?>
<calcChain xmlns="http://schemas.openxmlformats.org/spreadsheetml/2006/main">
  <c r="C33" i="8"/>
  <c r="C32"/>
  <c r="C31" s="1"/>
  <c r="C28"/>
  <c r="D25"/>
  <c r="C25"/>
  <c r="C22"/>
  <c r="C21"/>
  <c r="C18" s="1"/>
  <c r="C20"/>
  <c r="D18"/>
  <c r="C16"/>
  <c r="C15"/>
  <c r="C12"/>
  <c r="C10" s="1"/>
  <c r="C11"/>
  <c r="D10"/>
  <c r="E7" i="5"/>
  <c r="D22" i="6"/>
  <c r="I21"/>
  <c r="I20"/>
  <c r="I19"/>
  <c r="E17"/>
  <c r="E22" s="1"/>
  <c r="D17"/>
  <c r="I16"/>
  <c r="I15"/>
  <c r="I14"/>
  <c r="I13"/>
  <c r="I11"/>
  <c r="H11"/>
  <c r="H10"/>
  <c r="G12" s="1"/>
  <c r="G10"/>
  <c r="F10"/>
  <c r="F17" s="1"/>
  <c r="F22" s="1"/>
  <c r="C10"/>
  <c r="C17" s="1"/>
  <c r="E41" i="5"/>
  <c r="E39"/>
  <c r="D39"/>
  <c r="E38"/>
  <c r="D38"/>
  <c r="E37"/>
  <c r="D37"/>
  <c r="E34"/>
  <c r="D34"/>
  <c r="E31"/>
  <c r="E27"/>
  <c r="D27"/>
  <c r="E23"/>
  <c r="D23"/>
  <c r="E16"/>
  <c r="D16"/>
  <c r="E15"/>
  <c r="E10" s="1"/>
  <c r="E5" s="1"/>
  <c r="E42" s="1"/>
  <c r="D15"/>
  <c r="D13"/>
  <c r="E12"/>
  <c r="D12"/>
  <c r="E11"/>
  <c r="D11"/>
  <c r="D9"/>
  <c r="D7" s="1"/>
  <c r="D39" i="4"/>
  <c r="D35"/>
  <c r="E33"/>
  <c r="E31"/>
  <c r="E29"/>
  <c r="D29"/>
  <c r="E28"/>
  <c r="D28"/>
  <c r="E23"/>
  <c r="D23"/>
  <c r="E20"/>
  <c r="D20"/>
  <c r="E19"/>
  <c r="D19"/>
  <c r="E18"/>
  <c r="D18"/>
  <c r="D17"/>
  <c r="E15"/>
  <c r="D15"/>
  <c r="E14"/>
  <c r="E11" s="1"/>
  <c r="E6" s="1"/>
  <c r="D13"/>
  <c r="E12"/>
  <c r="D12"/>
  <c r="E9"/>
  <c r="D9"/>
  <c r="E8"/>
  <c r="D8"/>
  <c r="E7"/>
  <c r="D7"/>
  <c r="C26" i="3"/>
  <c r="C24"/>
  <c r="D22"/>
  <c r="D27" s="1"/>
  <c r="C22"/>
  <c r="C27" s="1"/>
  <c r="C18"/>
  <c r="C15"/>
  <c r="D13"/>
  <c r="C11"/>
  <c r="C9"/>
  <c r="C28" i="2"/>
  <c r="C27"/>
  <c r="C26"/>
  <c r="D24"/>
  <c r="D29" s="1"/>
  <c r="C19"/>
  <c r="C18"/>
  <c r="C16"/>
  <c r="C14" s="1"/>
  <c r="C15"/>
  <c r="C12"/>
  <c r="C11"/>
  <c r="C8"/>
  <c r="H145" i="1"/>
  <c r="G144"/>
  <c r="I144" s="1"/>
  <c r="K144" s="1"/>
  <c r="I143"/>
  <c r="G143"/>
  <c r="G142"/>
  <c r="G141"/>
  <c r="I141" s="1"/>
  <c r="G140"/>
  <c r="G139"/>
  <c r="I139" s="1"/>
  <c r="G138"/>
  <c r="G137"/>
  <c r="I137" s="1"/>
  <c r="G136"/>
  <c r="G135"/>
  <c r="I135" s="1"/>
  <c r="G134"/>
  <c r="G133"/>
  <c r="I133" s="1"/>
  <c r="G132"/>
  <c r="F131"/>
  <c r="G130"/>
  <c r="G129"/>
  <c r="G128"/>
  <c r="G127"/>
  <c r="G126"/>
  <c r="G125"/>
  <c r="F124"/>
  <c r="G124" s="1"/>
  <c r="F123"/>
  <c r="G122"/>
  <c r="I122" s="1"/>
  <c r="G121"/>
  <c r="G120"/>
  <c r="I120" s="1"/>
  <c r="G119"/>
  <c r="G118"/>
  <c r="I118" s="1"/>
  <c r="F117"/>
  <c r="G117" s="1"/>
  <c r="G116"/>
  <c r="G115"/>
  <c r="I115" s="1"/>
  <c r="G114"/>
  <c r="G113"/>
  <c r="I113" s="1"/>
  <c r="G112"/>
  <c r="G111"/>
  <c r="I111" s="1"/>
  <c r="G110"/>
  <c r="G109"/>
  <c r="I109" s="1"/>
  <c r="G108"/>
  <c r="G107"/>
  <c r="I107" s="1"/>
  <c r="G106"/>
  <c r="I105"/>
  <c r="G105"/>
  <c r="G104"/>
  <c r="G103"/>
  <c r="I103" s="1"/>
  <c r="G102"/>
  <c r="G101"/>
  <c r="I101" s="1"/>
  <c r="G100"/>
  <c r="G99"/>
  <c r="I99" s="1"/>
  <c r="G98"/>
  <c r="G97"/>
  <c r="I97" s="1"/>
  <c r="G96"/>
  <c r="F95"/>
  <c r="F94"/>
  <c r="F93"/>
  <c r="G92"/>
  <c r="I92" s="1"/>
  <c r="F91"/>
  <c r="G91" s="1"/>
  <c r="C91"/>
  <c r="B91"/>
  <c r="F90"/>
  <c r="G90" s="1"/>
  <c r="B90"/>
  <c r="F89"/>
  <c r="C89"/>
  <c r="B89"/>
  <c r="F88"/>
  <c r="B88"/>
  <c r="F87"/>
  <c r="G87" s="1"/>
  <c r="I87" s="1"/>
  <c r="K87" s="1"/>
  <c r="C87"/>
  <c r="B87"/>
  <c r="G86"/>
  <c r="F86"/>
  <c r="B86"/>
  <c r="G85"/>
  <c r="I85" s="1"/>
  <c r="B85"/>
  <c r="G84"/>
  <c r="I84" s="1"/>
  <c r="B84"/>
  <c r="G83"/>
  <c r="B83"/>
  <c r="G82"/>
  <c r="I82" s="1"/>
  <c r="C82"/>
  <c r="B82"/>
  <c r="G81"/>
  <c r="I81" s="1"/>
  <c r="C81"/>
  <c r="B81"/>
  <c r="G80"/>
  <c r="I80" s="1"/>
  <c r="C80"/>
  <c r="B80"/>
  <c r="G79"/>
  <c r="B79"/>
  <c r="G78"/>
  <c r="I78" s="1"/>
  <c r="C78"/>
  <c r="B78"/>
  <c r="G77"/>
  <c r="I77" s="1"/>
  <c r="C77"/>
  <c r="B77"/>
  <c r="G76"/>
  <c r="I76" s="1"/>
  <c r="C76"/>
  <c r="B76"/>
  <c r="G75"/>
  <c r="I75" s="1"/>
  <c r="C75"/>
  <c r="B75"/>
  <c r="G74"/>
  <c r="I74" s="1"/>
  <c r="C74"/>
  <c r="B74"/>
  <c r="G73"/>
  <c r="I73" s="1"/>
  <c r="C73"/>
  <c r="B73"/>
  <c r="G72"/>
  <c r="I72" s="1"/>
  <c r="C72"/>
  <c r="B72"/>
  <c r="G71"/>
  <c r="I71" s="1"/>
  <c r="C71"/>
  <c r="B71"/>
  <c r="G70"/>
  <c r="I70" s="1"/>
  <c r="B70"/>
  <c r="G69"/>
  <c r="G68"/>
  <c r="G67"/>
  <c r="G66"/>
  <c r="G65"/>
  <c r="G64"/>
  <c r="G63"/>
  <c r="G62"/>
  <c r="G61"/>
  <c r="G60"/>
  <c r="G59"/>
  <c r="G58"/>
  <c r="G57"/>
  <c r="I56"/>
  <c r="K56" s="1"/>
  <c r="F56"/>
  <c r="I55"/>
  <c r="F55"/>
  <c r="I54"/>
  <c r="K54" s="1"/>
  <c r="F54"/>
  <c r="I53"/>
  <c r="F53"/>
  <c r="K52"/>
  <c r="I52"/>
  <c r="F52"/>
  <c r="I51"/>
  <c r="F51"/>
  <c r="G50"/>
  <c r="G49"/>
  <c r="G48"/>
  <c r="G47"/>
  <c r="G46"/>
  <c r="C46"/>
  <c r="B46"/>
  <c r="G45"/>
  <c r="C45"/>
  <c r="B45"/>
  <c r="G44"/>
  <c r="C44"/>
  <c r="B44"/>
  <c r="G43"/>
  <c r="C43"/>
  <c r="B43"/>
  <c r="G42"/>
  <c r="C42"/>
  <c r="B42"/>
  <c r="G41"/>
  <c r="C41"/>
  <c r="B41"/>
  <c r="G40"/>
  <c r="C40"/>
  <c r="B40"/>
  <c r="G39"/>
  <c r="B39"/>
  <c r="G38"/>
  <c r="I38" s="1"/>
  <c r="B38"/>
  <c r="G37"/>
  <c r="B37"/>
  <c r="G36"/>
  <c r="I36" s="1"/>
  <c r="B36"/>
  <c r="G35"/>
  <c r="E35"/>
  <c r="C35"/>
  <c r="B35"/>
  <c r="G34"/>
  <c r="I34" s="1"/>
  <c r="C34"/>
  <c r="B34"/>
  <c r="G33"/>
  <c r="I33" s="1"/>
  <c r="E33"/>
  <c r="B33"/>
  <c r="G32"/>
  <c r="I32" s="1"/>
  <c r="B32"/>
  <c r="I31"/>
  <c r="K31" s="1"/>
  <c r="F31"/>
  <c r="C31"/>
  <c r="B31"/>
  <c r="G30"/>
  <c r="I30" s="1"/>
  <c r="G29"/>
  <c r="G28"/>
  <c r="I28" s="1"/>
  <c r="G27"/>
  <c r="G26"/>
  <c r="I26" s="1"/>
  <c r="G25"/>
  <c r="G24"/>
  <c r="I24" s="1"/>
  <c r="G23"/>
  <c r="G22"/>
  <c r="I22" s="1"/>
  <c r="G21"/>
  <c r="G20"/>
  <c r="I20" s="1"/>
  <c r="G19"/>
  <c r="I18"/>
  <c r="G18"/>
  <c r="G17"/>
  <c r="G16"/>
  <c r="I16" s="1"/>
  <c r="G15"/>
  <c r="G14"/>
  <c r="I14" s="1"/>
  <c r="G13"/>
  <c r="G12"/>
  <c r="G11"/>
  <c r="I11" s="1"/>
  <c r="G10"/>
  <c r="G9"/>
  <c r="G8"/>
  <c r="G7"/>
  <c r="K6"/>
  <c r="I6"/>
  <c r="F38" l="1"/>
  <c r="D28" i="3"/>
  <c r="D30" s="1"/>
  <c r="E42" i="4"/>
  <c r="I12" i="6"/>
  <c r="C24" i="2"/>
  <c r="C29" s="1"/>
  <c r="C13" i="3"/>
  <c r="D10" i="5"/>
  <c r="D5" s="1"/>
  <c r="G17" i="6"/>
  <c r="G22" s="1"/>
  <c r="H12"/>
  <c r="C22"/>
  <c r="I17"/>
  <c r="I10"/>
  <c r="E30" i="5"/>
  <c r="D30"/>
  <c r="D30" i="2"/>
  <c r="F34" i="1"/>
  <c r="F36"/>
  <c r="F71"/>
  <c r="F73"/>
  <c r="F75"/>
  <c r="F77"/>
  <c r="F80"/>
  <c r="F82"/>
  <c r="F84"/>
  <c r="F32"/>
  <c r="F33"/>
  <c r="F70"/>
  <c r="F72"/>
  <c r="F74"/>
  <c r="F76"/>
  <c r="F78"/>
  <c r="F81"/>
  <c r="I7"/>
  <c r="I8"/>
  <c r="I9"/>
  <c r="I10"/>
  <c r="K11"/>
  <c r="I12"/>
  <c r="I13"/>
  <c r="K14"/>
  <c r="I15"/>
  <c r="K16"/>
  <c r="I17"/>
  <c r="K18"/>
  <c r="I19"/>
  <c r="K20"/>
  <c r="I21"/>
  <c r="K22"/>
  <c r="I23"/>
  <c r="K24"/>
  <c r="I25"/>
  <c r="K26"/>
  <c r="I27"/>
  <c r="K28"/>
  <c r="I29"/>
  <c r="K30"/>
  <c r="K32"/>
  <c r="K33"/>
  <c r="K34"/>
  <c r="F35"/>
  <c r="I35"/>
  <c r="K36"/>
  <c r="F37"/>
  <c r="I37"/>
  <c r="K38"/>
  <c r="F39"/>
  <c r="I39"/>
  <c r="F40"/>
  <c r="I40"/>
  <c r="F41"/>
  <c r="I41"/>
  <c r="F42"/>
  <c r="I42"/>
  <c r="F43"/>
  <c r="I43"/>
  <c r="F44"/>
  <c r="I44"/>
  <c r="F45"/>
  <c r="I45"/>
  <c r="F46"/>
  <c r="I46"/>
  <c r="F47"/>
  <c r="I47"/>
  <c r="F48"/>
  <c r="I48"/>
  <c r="F49"/>
  <c r="I49"/>
  <c r="F50"/>
  <c r="I50"/>
  <c r="K51"/>
  <c r="K53"/>
  <c r="K55"/>
  <c r="F57"/>
  <c r="I57"/>
  <c r="F58"/>
  <c r="I58"/>
  <c r="F59"/>
  <c r="I59"/>
  <c r="F60"/>
  <c r="I60"/>
  <c r="F61"/>
  <c r="I61"/>
  <c r="F62"/>
  <c r="I62"/>
  <c r="F63"/>
  <c r="I63"/>
  <c r="F64"/>
  <c r="I64"/>
  <c r="F65"/>
  <c r="I65"/>
  <c r="F66"/>
  <c r="I66"/>
  <c r="F67"/>
  <c r="I67"/>
  <c r="F68"/>
  <c r="I68"/>
  <c r="F69"/>
  <c r="I69"/>
  <c r="K70"/>
  <c r="K71"/>
  <c r="K72"/>
  <c r="K73"/>
  <c r="K74"/>
  <c r="K75"/>
  <c r="K76"/>
  <c r="K77"/>
  <c r="K78"/>
  <c r="F79"/>
  <c r="I79"/>
  <c r="K80"/>
  <c r="K81"/>
  <c r="K82"/>
  <c r="F83"/>
  <c r="I83"/>
  <c r="K84"/>
  <c r="K85"/>
  <c r="I86"/>
  <c r="G88"/>
  <c r="I88" s="1"/>
  <c r="K88" s="1"/>
  <c r="G89"/>
  <c r="I90"/>
  <c r="I91"/>
  <c r="K92"/>
  <c r="G93"/>
  <c r="G94"/>
  <c r="G95"/>
  <c r="I96"/>
  <c r="K97"/>
  <c r="I98"/>
  <c r="K99"/>
  <c r="I100"/>
  <c r="K101"/>
  <c r="I102"/>
  <c r="K103"/>
  <c r="I104"/>
  <c r="K105"/>
  <c r="I106"/>
  <c r="K107"/>
  <c r="I108"/>
  <c r="K109"/>
  <c r="I110"/>
  <c r="K111"/>
  <c r="I112"/>
  <c r="K113"/>
  <c r="I114"/>
  <c r="K115"/>
  <c r="I116"/>
  <c r="I117"/>
  <c r="K118"/>
  <c r="I119"/>
  <c r="K120"/>
  <c r="I121"/>
  <c r="K122"/>
  <c r="G123"/>
  <c r="I124"/>
  <c r="I125"/>
  <c r="I126"/>
  <c r="I127"/>
  <c r="I128"/>
  <c r="I129"/>
  <c r="I130"/>
  <c r="G131"/>
  <c r="I132"/>
  <c r="K133"/>
  <c r="I134"/>
  <c r="K135"/>
  <c r="I136"/>
  <c r="K137"/>
  <c r="I138"/>
  <c r="K139"/>
  <c r="I140"/>
  <c r="K141"/>
  <c r="I142"/>
  <c r="K143"/>
  <c r="D31" i="2" l="1"/>
  <c r="D32" s="1"/>
  <c r="K119" i="1"/>
  <c r="K86"/>
  <c r="K37"/>
  <c r="K12"/>
  <c r="K10"/>
  <c r="K8"/>
  <c r="I131"/>
  <c r="I123"/>
  <c r="K121"/>
  <c r="K117"/>
  <c r="I95"/>
  <c r="I93"/>
  <c r="K91"/>
  <c r="I89"/>
  <c r="K79"/>
  <c r="K142"/>
  <c r="K140"/>
  <c r="K138"/>
  <c r="K136"/>
  <c r="K134"/>
  <c r="K132"/>
  <c r="K116"/>
  <c r="K114"/>
  <c r="K112"/>
  <c r="K110"/>
  <c r="K108"/>
  <c r="K106"/>
  <c r="K104"/>
  <c r="K102"/>
  <c r="K100"/>
  <c r="K98"/>
  <c r="K96"/>
  <c r="I94"/>
  <c r="K90"/>
  <c r="K83"/>
  <c r="K69"/>
  <c r="K68"/>
  <c r="K67"/>
  <c r="K66"/>
  <c r="K65"/>
  <c r="K64"/>
  <c r="K63"/>
  <c r="K62"/>
  <c r="K61"/>
  <c r="K60"/>
  <c r="K59"/>
  <c r="K58"/>
  <c r="K57"/>
  <c r="K50"/>
  <c r="K49"/>
  <c r="K48"/>
  <c r="K47"/>
  <c r="K46"/>
  <c r="K45"/>
  <c r="K44"/>
  <c r="K43"/>
  <c r="K42"/>
  <c r="K41"/>
  <c r="K40"/>
  <c r="K39"/>
  <c r="K35"/>
  <c r="K29"/>
  <c r="K27"/>
  <c r="K25"/>
  <c r="K23"/>
  <c r="K21"/>
  <c r="K19"/>
  <c r="K17"/>
  <c r="K15"/>
  <c r="K13"/>
  <c r="K9"/>
  <c r="K7"/>
  <c r="G145"/>
  <c r="D36" i="4" l="1"/>
  <c r="D33" s="1"/>
  <c r="D31" s="1"/>
  <c r="K94" i="1"/>
  <c r="K89"/>
  <c r="I145"/>
  <c r="K93"/>
  <c r="K95"/>
  <c r="K131"/>
  <c r="K145" l="1"/>
  <c r="C17" i="3" l="1"/>
  <c r="C17" i="2"/>
  <c r="C20" s="1"/>
  <c r="C21" s="1"/>
  <c r="C30" s="1"/>
  <c r="C31" l="1"/>
  <c r="C32" s="1"/>
  <c r="C19" i="3" l="1"/>
  <c r="C28" s="1"/>
  <c r="C29" l="1"/>
  <c r="C30"/>
  <c r="D41" i="5" l="1"/>
  <c r="D31" s="1"/>
  <c r="D42" s="1"/>
  <c r="H18" i="6"/>
  <c r="H22" l="1"/>
  <c r="I18"/>
  <c r="I22" s="1"/>
  <c r="D14" i="4" l="1"/>
  <c r="D11" s="1"/>
  <c r="D6" s="1"/>
  <c r="D42" s="1"/>
</calcChain>
</file>

<file path=xl/comments1.xml><?xml version="1.0" encoding="utf-8"?>
<comments xmlns="http://schemas.openxmlformats.org/spreadsheetml/2006/main">
  <authors>
    <author>Titi</author>
  </authors>
  <commentList>
    <comment ref="C12" authorId="0">
      <text>
        <r>
          <rPr>
            <b/>
            <sz val="8"/>
            <color indexed="81"/>
            <rFont val="Tahoma"/>
            <family val="2"/>
          </rPr>
          <t>Titi:</t>
        </r>
        <r>
          <rPr>
            <sz val="8"/>
            <color indexed="81"/>
            <rFont val="Tahoma"/>
            <family val="2"/>
          </rPr>
          <t xml:space="preserve">
shif shenimin ne krah
</t>
        </r>
      </text>
    </comment>
  </commentList>
</comments>
</file>

<file path=xl/sharedStrings.xml><?xml version="1.0" encoding="utf-8"?>
<sst xmlns="http://schemas.openxmlformats.org/spreadsheetml/2006/main" count="619" uniqueCount="388">
  <si>
    <t>PASQYRA E AMORTIZIMIT GARDEN LINE 2011</t>
  </si>
  <si>
    <t>nr</t>
  </si>
  <si>
    <t>e m e r t i m i</t>
  </si>
  <si>
    <t xml:space="preserve">data </t>
  </si>
  <si>
    <t>njesia</t>
  </si>
  <si>
    <t>sasia</t>
  </si>
  <si>
    <t>cmimi</t>
  </si>
  <si>
    <t>vlefta</t>
  </si>
  <si>
    <t>amortizimi</t>
  </si>
  <si>
    <t xml:space="preserve">norma </t>
  </si>
  <si>
    <t>rend</t>
  </si>
  <si>
    <t>makinerive</t>
  </si>
  <si>
    <t>blerjes</t>
  </si>
  <si>
    <t>fillestare</t>
  </si>
  <si>
    <t>akomuluar</t>
  </si>
  <si>
    <t>mbetur</t>
  </si>
  <si>
    <t>amortiz.</t>
  </si>
  <si>
    <t>vjetor</t>
  </si>
  <si>
    <t>sera</t>
  </si>
  <si>
    <t>share elektrike</t>
  </si>
  <si>
    <t>21.05.01</t>
  </si>
  <si>
    <t>cop</t>
  </si>
  <si>
    <t>panela druri</t>
  </si>
  <si>
    <t>22.05.01</t>
  </si>
  <si>
    <t>shkalle</t>
  </si>
  <si>
    <t>30.07.01</t>
  </si>
  <si>
    <t>saldatrice</t>
  </si>
  <si>
    <t>gjenerator</t>
  </si>
  <si>
    <t>31.08.01</t>
  </si>
  <si>
    <t>trapan</t>
  </si>
  <si>
    <t>matrapik</t>
  </si>
  <si>
    <t>pompe</t>
  </si>
  <si>
    <t>12.03.01</t>
  </si>
  <si>
    <t>pompe shytese</t>
  </si>
  <si>
    <t>25.07.01</t>
  </si>
  <si>
    <t>rezervuar</t>
  </si>
  <si>
    <t>15.11.01</t>
  </si>
  <si>
    <t>sera + aksesoret</t>
  </si>
  <si>
    <t>14.09.01</t>
  </si>
  <si>
    <t>furgon fiat</t>
  </si>
  <si>
    <t>16.12.01</t>
  </si>
  <si>
    <t>vinc kollone  8/k/f</t>
  </si>
  <si>
    <t>05.11.01</t>
  </si>
  <si>
    <t>vinc kollone 10/k/f</t>
  </si>
  <si>
    <t>karel levizes</t>
  </si>
  <si>
    <t>30.10.01</t>
  </si>
  <si>
    <t xml:space="preserve">pllaka druri dyshemeje </t>
  </si>
  <si>
    <t>03.11.01</t>
  </si>
  <si>
    <t>11.04.02</t>
  </si>
  <si>
    <t>25.04.02</t>
  </si>
  <si>
    <t>betonjere</t>
  </si>
  <si>
    <t>15.02.02</t>
  </si>
  <si>
    <t>transformator fuqie</t>
  </si>
  <si>
    <t>17.01.02</t>
  </si>
  <si>
    <t>kabina elektrike</t>
  </si>
  <si>
    <t>24.01.02</t>
  </si>
  <si>
    <t>pompa uji</t>
  </si>
  <si>
    <t>03.07.02</t>
  </si>
  <si>
    <t>04.07.03</t>
  </si>
  <si>
    <t>23.07.03</t>
  </si>
  <si>
    <t>14.07.07</t>
  </si>
  <si>
    <t>11.10.07</t>
  </si>
  <si>
    <t>01.11.07</t>
  </si>
  <si>
    <t>01.06.07</t>
  </si>
  <si>
    <t>27.02.07</t>
  </si>
  <si>
    <t>BMW  X5</t>
  </si>
  <si>
    <t>11.08.08</t>
  </si>
  <si>
    <t>makine mbjellese Botton TM35</t>
  </si>
  <si>
    <t>Trattore Valpadana</t>
  </si>
  <si>
    <t>Range Rover Sport 2.7 HSE</t>
  </si>
  <si>
    <t>paisje per vaditje</t>
  </si>
  <si>
    <t>25.01.08</t>
  </si>
  <si>
    <t xml:space="preserve">kaldaje </t>
  </si>
  <si>
    <t>paisje per sera m2.640dhe lulu 1800kg</t>
  </si>
  <si>
    <t>softuar</t>
  </si>
  <si>
    <t>12.11.08</t>
  </si>
  <si>
    <t>kasa fiskale</t>
  </si>
  <si>
    <t>25.06.08</t>
  </si>
  <si>
    <t>situacion punimesh</t>
  </si>
  <si>
    <t>30.09.08</t>
  </si>
  <si>
    <t>Banco x invaso 135x66 piccolo</t>
  </si>
  <si>
    <t>Botte per trattamenti + access.(bot sper</t>
  </si>
  <si>
    <t>Carretta 2 ruote sponde</t>
  </si>
  <si>
    <t>Filter gard system GMF 15</t>
  </si>
  <si>
    <t>Generatore aria caldo mobile mod. EC 25</t>
  </si>
  <si>
    <t>Generatore aria caldo mod.Jumbo 65 T</t>
  </si>
  <si>
    <t>Motorino gonfiaggio con temporizzatore</t>
  </si>
  <si>
    <t>Trattrice agricola fiat 70/66 (traktor)</t>
  </si>
  <si>
    <t>Sistemi filtrimit</t>
  </si>
  <si>
    <t>Pompa da irrigazione (pompe uji)</t>
  </si>
  <si>
    <t>Rollo per prati mod. Vergani</t>
  </si>
  <si>
    <t>Scaffalattura per attrezzi (raft)</t>
  </si>
  <si>
    <t>Tavolo per cernita ortaggi (tavoline)</t>
  </si>
  <si>
    <t>04.11.2009</t>
  </si>
  <si>
    <t>16.09.09</t>
  </si>
  <si>
    <t>05.01.2010</t>
  </si>
  <si>
    <t>12.03.10</t>
  </si>
  <si>
    <t>motokompresor ajri  perd</t>
  </si>
  <si>
    <t>02.05.11</t>
  </si>
  <si>
    <t>cekic shpues me ajer</t>
  </si>
  <si>
    <t>18.07.11</t>
  </si>
  <si>
    <t>kompresor ajri</t>
  </si>
  <si>
    <t>30.07.11</t>
  </si>
  <si>
    <t>mai motor mix pomp atlas copco</t>
  </si>
  <si>
    <t>wb 30xt   (  pompe pyet vilmen )</t>
  </si>
  <si>
    <t>08.08.11</t>
  </si>
  <si>
    <t>motokultivator</t>
  </si>
  <si>
    <t>20.08.11</t>
  </si>
  <si>
    <t>motoshare me benzine</t>
  </si>
  <si>
    <t>28.08.11</t>
  </si>
  <si>
    <t xml:space="preserve">modem, </t>
  </si>
  <si>
    <t>31.08.11</t>
  </si>
  <si>
    <t>cikrik elektrik</t>
  </si>
  <si>
    <t>02.09.11</t>
  </si>
  <si>
    <t>kondicioner</t>
  </si>
  <si>
    <t>04.08.11</t>
  </si>
  <si>
    <t>tavoline pune  160 smart</t>
  </si>
  <si>
    <t>10.09.11</t>
  </si>
  <si>
    <t>tav pvc  80x80</t>
  </si>
  <si>
    <t>hark lidhes 80x80</t>
  </si>
  <si>
    <t>karike fixe</t>
  </si>
  <si>
    <t>karike me rota</t>
  </si>
  <si>
    <t>tav pic   80x80</t>
  </si>
  <si>
    <t>sirtariere</t>
  </si>
  <si>
    <t>dollap 83x42x85</t>
  </si>
  <si>
    <t>06.10.11</t>
  </si>
  <si>
    <t>tavoline mbedhje 220x110</t>
  </si>
  <si>
    <t>rafte pa rota</t>
  </si>
  <si>
    <t>rafte me rota</t>
  </si>
  <si>
    <t>30.09.11</t>
  </si>
  <si>
    <t>pompe + rekorderi</t>
  </si>
  <si>
    <t>07.11.11</t>
  </si>
  <si>
    <t>autoveture misubishi</t>
  </si>
  <si>
    <t>19.11.11</t>
  </si>
  <si>
    <t>furgon vito</t>
  </si>
  <si>
    <t xml:space="preserve">hynndai </t>
  </si>
  <si>
    <t>21.11.11</t>
  </si>
  <si>
    <t>land rover</t>
  </si>
  <si>
    <t>pirun ngrites</t>
  </si>
  <si>
    <t>06.12.11</t>
  </si>
  <si>
    <t>02.12.11</t>
  </si>
  <si>
    <t>telefona</t>
  </si>
  <si>
    <t>17.12.11</t>
  </si>
  <si>
    <t>kompjutri klodi</t>
  </si>
  <si>
    <t>teelefon nocia</t>
  </si>
  <si>
    <t>19.12.11</t>
  </si>
  <si>
    <t>Cekic Ajri 571</t>
  </si>
  <si>
    <t>05.12.2011</t>
  </si>
  <si>
    <t xml:space="preserve">mot.ngjeshje dheu    rul </t>
  </si>
  <si>
    <t>14.12.2011</t>
  </si>
  <si>
    <t>pompa uji per lulishte</t>
  </si>
  <si>
    <t>22.02.11</t>
  </si>
  <si>
    <t>10.06.11</t>
  </si>
  <si>
    <t>makin mbjellje bari</t>
  </si>
  <si>
    <t>05.08.11</t>
  </si>
  <si>
    <t>17.09.11</t>
  </si>
  <si>
    <t>Makineri cpim hidraulike vetlevizese pe token ROC D7C</t>
  </si>
  <si>
    <t>07.10.11</t>
  </si>
  <si>
    <t>pompe ujitje +770 cop aksesore</t>
  </si>
  <si>
    <t>17.10.11</t>
  </si>
  <si>
    <t xml:space="preserve">paisje per vendosje rjete </t>
  </si>
  <si>
    <t>22.10.11</t>
  </si>
  <si>
    <t>paisje per ujitje</t>
  </si>
  <si>
    <t>14.11.11</t>
  </si>
  <si>
    <t>kaldaje</t>
  </si>
  <si>
    <t>28.11.11</t>
  </si>
  <si>
    <t xml:space="preserve">paisje ngrohje sera </t>
  </si>
  <si>
    <t>zyra albertos</t>
  </si>
  <si>
    <t>Pasqyra e te Ardhurave dhe Shpenzimeve 2011</t>
  </si>
  <si>
    <t>(Bazuar ne klasifikimin e Shpenzimeve sipas Natyres</t>
  </si>
  <si>
    <t>GARDEN LINE</t>
  </si>
  <si>
    <t>Nr.</t>
  </si>
  <si>
    <t>Pershkrimi i Elementeve</t>
  </si>
  <si>
    <t>Periudha</t>
  </si>
  <si>
    <t>Raportuese</t>
  </si>
  <si>
    <t>Para ardhese</t>
  </si>
  <si>
    <t xml:space="preserve">   Shitjet neto</t>
  </si>
  <si>
    <t xml:space="preserve">   Shitjet neto dega Kosove</t>
  </si>
  <si>
    <t xml:space="preserve">   Te ardhura te tjera nga veprimtaria e shfrytezimit</t>
  </si>
  <si>
    <t xml:space="preserve">   Ndrysh. Ne invent. Prod. Gatshem e prodhimit ne proçes(-)</t>
  </si>
  <si>
    <t xml:space="preserve">   Materialet e konsumuara</t>
  </si>
  <si>
    <t xml:space="preserve">   Materialet e konsumuara dega kosove</t>
  </si>
  <si>
    <t xml:space="preserve">   Kosto e punes</t>
  </si>
  <si>
    <t xml:space="preserve">        Pagat e personelit</t>
  </si>
  <si>
    <t xml:space="preserve">   Shpenzimet per sigurime shoqerore e shendetesore</t>
  </si>
  <si>
    <t xml:space="preserve">   Amortizimet dhe zhvleresimet</t>
  </si>
  <si>
    <t xml:space="preserve">   Shpenzime te tjera</t>
  </si>
  <si>
    <t xml:space="preserve">   Shpenzime te tjera te  pazbritshme per efekt tatimi</t>
  </si>
  <si>
    <t>Totali I Shpenzimeve (shumat 4-7)</t>
  </si>
  <si>
    <t xml:space="preserve">  Fitimi (humbja) nga veprimtarite kryesore (1+2+/-3-8)</t>
  </si>
  <si>
    <t xml:space="preserve">  Te ardhurat dhe shpenzimet financiare nga njesite e kontrolluara</t>
  </si>
  <si>
    <t xml:space="preserve">  Te ardhurat dhe shpenzimet financiare nga pjesemarrjet</t>
  </si>
  <si>
    <t xml:space="preserve">  Te ardhurat dhe shpenzimet financiare </t>
  </si>
  <si>
    <t xml:space="preserve">   12.1   Te ardh. E shpenz.financ.nga invest.te tjera financ.afatgjata</t>
  </si>
  <si>
    <t xml:space="preserve">   12.2   Te ardhurat dhe shpenzimet nga interesat</t>
  </si>
  <si>
    <t xml:space="preserve">   12.3   Fitimet (Humbjet) nga kursi I kembimit</t>
  </si>
  <si>
    <t xml:space="preserve">   12.4   Te ardhura dhe shpenzime te tjera financiare</t>
  </si>
  <si>
    <t>Totali I te Ardhurave dhe Shpenzimeve Financiare(8+12)</t>
  </si>
  <si>
    <t xml:space="preserve">   Fitimi ( humbja) para tatimit (9+12+7.1)</t>
  </si>
  <si>
    <t xml:space="preserve">   Shpenzimet e tatimit mbi fitimin </t>
  </si>
  <si>
    <t xml:space="preserve">   Fitimi ( humbja) neto e vitit financier (14-15)</t>
  </si>
  <si>
    <t xml:space="preserve">   Elementet e pasqyrave te konsoliduara</t>
  </si>
  <si>
    <t>(Bazuar ne klasifikimin e Shpenzimeve sipas Funksioneve)</t>
  </si>
  <si>
    <t>a</t>
  </si>
  <si>
    <t xml:space="preserve">   Shitjet neto dega kosove</t>
  </si>
  <si>
    <t xml:space="preserve">   Kosto e prodhimit/, blerjes se mallrave te shitura</t>
  </si>
  <si>
    <t>b</t>
  </si>
  <si>
    <t xml:space="preserve">   Kosto e prodhimit/, blerjes se mallrave te shitura dega kosove</t>
  </si>
  <si>
    <t xml:space="preserve">   Fitimi (Humbja)  bruto (1-2)</t>
  </si>
  <si>
    <t xml:space="preserve">   Shpenzimet e shitjes   </t>
  </si>
  <si>
    <t xml:space="preserve">   Shpenzimet administrative paga ,sig</t>
  </si>
  <si>
    <t xml:space="preserve">   Te ardhura te tjera nga veprimtarite e shfrytezimit</t>
  </si>
  <si>
    <t xml:space="preserve">   Shpenzime te tjera te zakonshme+ amort </t>
  </si>
  <si>
    <t xml:space="preserve">   Shpenzime te tjerate pazbritshme</t>
  </si>
  <si>
    <t xml:space="preserve">   Fitimi (Humbja) nga veprimtarite e shfrytezimit (3-5)</t>
  </si>
  <si>
    <t xml:space="preserve">   Te ardhurat dhe shpenzimet financiare nga pjesemarrjet </t>
  </si>
  <si>
    <t xml:space="preserve">   Te ardhurat dhe shpenzimet financiare nga njesite e kontrolluara</t>
  </si>
  <si>
    <t xml:space="preserve">   Te ardhurat dhe shpenzimet financiare</t>
  </si>
  <si>
    <t xml:space="preserve">   11.1 Te ardh.e shpenz.financ.nga invest. Te tjera financ.afatgjata</t>
  </si>
  <si>
    <t xml:space="preserve">   11.2 Te ardhurat dhe shpenzimet nga interesat</t>
  </si>
  <si>
    <t xml:space="preserve">   11.3 Fitimet (Humbjet) nga kursi I kembimit</t>
  </si>
  <si>
    <t xml:space="preserve">   11.4 Te ardhura dhe shpenzime te tjera financiare</t>
  </si>
  <si>
    <t>Totali I te Ardhurave dhe Shpenzimeve Financiare</t>
  </si>
  <si>
    <t xml:space="preserve">   Fitimi (humbja) para tatimit (8+/-12)</t>
  </si>
  <si>
    <t xml:space="preserve">   Shpenzimet e tatimit mbi fitimin( 13+13.1)*10% per v.08 dhe 20%v07</t>
  </si>
  <si>
    <t xml:space="preserve">   Fitimi (humbja) neto e vitit financiar (13-14-7.1)</t>
  </si>
  <si>
    <t>AKTIVET</t>
  </si>
  <si>
    <t xml:space="preserve">Shenime </t>
  </si>
  <si>
    <t>I</t>
  </si>
  <si>
    <t>AKTIVET AFATSHKURTRA</t>
  </si>
  <si>
    <t>leke</t>
  </si>
  <si>
    <t xml:space="preserve"> 1. Aktivet monetare</t>
  </si>
  <si>
    <t xml:space="preserve">    &gt;Banka</t>
  </si>
  <si>
    <t xml:space="preserve">    &gt;Arka</t>
  </si>
  <si>
    <t xml:space="preserve"> 2. Derivative dhe aktive te mbajtura per tregtim</t>
  </si>
  <si>
    <t xml:space="preserve"> 3. Aktive te tjera financiare afatshkurtra</t>
  </si>
  <si>
    <t xml:space="preserve">    &gt;Kliente per mallra, produkte e sherbime</t>
  </si>
  <si>
    <t xml:space="preserve">    &gt;Debitore, Kreditore te tjere</t>
  </si>
  <si>
    <t xml:space="preserve">    &gt;Tatim mbi fitimin</t>
  </si>
  <si>
    <t xml:space="preserve">    &gt;TVSH</t>
  </si>
  <si>
    <t xml:space="preserve">    &gt;Te drejta e detyrime ndaj ortakeve</t>
  </si>
  <si>
    <t xml:space="preserve">    &gt;  tatim fitimi nga kontrolli</t>
  </si>
  <si>
    <t xml:space="preserve"> 4. Inventari</t>
  </si>
  <si>
    <t xml:space="preserve">    &gt;Lendet e para</t>
  </si>
  <si>
    <t xml:space="preserve">    &gt;Inventari imet</t>
  </si>
  <si>
    <t xml:space="preserve">    &gt;Prodhim ne proces</t>
  </si>
  <si>
    <t xml:space="preserve">    &gt;Produkte te gatshme</t>
  </si>
  <si>
    <t xml:space="preserve">    &gt;Mallra per shitje</t>
  </si>
  <si>
    <t xml:space="preserve">    &gt;Para pagesa per furnizime</t>
  </si>
  <si>
    <t xml:space="preserve">    &gt;</t>
  </si>
  <si>
    <t xml:space="preserve"> 5. Aktive biologjike afatshkurtra</t>
  </si>
  <si>
    <t xml:space="preserve"> 6. Aktive afatshkurtra te mbajtura per rishitje</t>
  </si>
  <si>
    <t xml:space="preserve"> 7. Parapagime dhe shpenzime te shtyra</t>
  </si>
  <si>
    <t xml:space="preserve">    &gt;Shpenzime te periudhave te ardhshme</t>
  </si>
  <si>
    <t>II</t>
  </si>
  <si>
    <t>AKTIVET AFATGJATA</t>
  </si>
  <si>
    <t xml:space="preserve"> 1. Investimet financiare afatgjata</t>
  </si>
  <si>
    <t xml:space="preserve"> 2. Aktive afatgjata materiale</t>
  </si>
  <si>
    <t xml:space="preserve">    &gt;Toka</t>
  </si>
  <si>
    <t xml:space="preserve">    &gt;Ndertesa dhe instalime</t>
  </si>
  <si>
    <t xml:space="preserve">    &gt;Makineri dhe pajisje(mjete transporti)</t>
  </si>
  <si>
    <t xml:space="preserve">    &gt;Aktive te tjera afatgjata materiale</t>
  </si>
  <si>
    <t xml:space="preserve"> 3. Aktivet biologjeke afatgjata</t>
  </si>
  <si>
    <t xml:space="preserve"> 4. Aktive afatgjata jo materiale</t>
  </si>
  <si>
    <t xml:space="preserve"> 5. Kapitali aksioner I pa paguar</t>
  </si>
  <si>
    <t xml:space="preserve"> 6. Aktive te tjera afatgjata</t>
  </si>
  <si>
    <t>TOTALI I AKTIVEVE  ( I+II )</t>
  </si>
  <si>
    <t>PASIVET DHE KAPITALI</t>
  </si>
  <si>
    <t>Shenime</t>
  </si>
  <si>
    <t>PASIVET AFATSHKURTRA</t>
  </si>
  <si>
    <t xml:space="preserve"> 1. Derivativet</t>
  </si>
  <si>
    <t xml:space="preserve"> 2. Huamarrjet</t>
  </si>
  <si>
    <t xml:space="preserve">    &gt;Overdraftet bankare</t>
  </si>
  <si>
    <t xml:space="preserve">    &gt;Huamarrje afatshkurtra</t>
  </si>
  <si>
    <t xml:space="preserve"> 3. Huat dhe parapagimet</t>
  </si>
  <si>
    <t xml:space="preserve">    &gt;Te pagueshme ndaj furnitoreve</t>
  </si>
  <si>
    <t xml:space="preserve">    &gt;Te pagueshme ndaj punonjesve</t>
  </si>
  <si>
    <t xml:space="preserve">    &gt;Detyrime per Sigurime Shoq. Shend.</t>
  </si>
  <si>
    <t xml:space="preserve">    &gt;Detyrime tatimore per TAP - in</t>
  </si>
  <si>
    <t xml:space="preserve">    &gt;Detyrime tatimore per Tatim Fitimin</t>
  </si>
  <si>
    <t xml:space="preserve">    &gt;Detyrime tatimore per TVSH-ne</t>
  </si>
  <si>
    <t xml:space="preserve">    &gt;Detyrime tatimore per Tatim ne Burim</t>
  </si>
  <si>
    <t xml:space="preserve">    &gt;Dividente per t'u paguar</t>
  </si>
  <si>
    <t xml:space="preserve">    &gt;Debitore dhe Kreditore te tjere </t>
  </si>
  <si>
    <t xml:space="preserve"> 4. Grandet dhe te ardhurat e shtyra</t>
  </si>
  <si>
    <t xml:space="preserve"> 5. Provizionet afatshkurtra</t>
  </si>
  <si>
    <t xml:space="preserve"> PASIVET AFATGJATA</t>
  </si>
  <si>
    <t xml:space="preserve"> 1. Huat afatgjata</t>
  </si>
  <si>
    <t xml:space="preserve">    &gt;Hua, bono dhe detyrime nga qeraja financiare</t>
  </si>
  <si>
    <t xml:space="preserve">    &gt;Bono te konvertueshme</t>
  </si>
  <si>
    <t xml:space="preserve"> 2. Huamarrje te tjera afatgjata</t>
  </si>
  <si>
    <t xml:space="preserve"> 3. Grantet dhe te ardhurat e shtyra</t>
  </si>
  <si>
    <t xml:space="preserve"> 4. Provizionet afatgjata</t>
  </si>
  <si>
    <t xml:space="preserve">  TOTALI I PASIVEVE ( I+II )</t>
  </si>
  <si>
    <t>III</t>
  </si>
  <si>
    <t xml:space="preserve"> KAPITALI</t>
  </si>
  <si>
    <t xml:space="preserve"> 1. Aksionet e pakices (PF te konsoliduara)</t>
  </si>
  <si>
    <t xml:space="preserve"> 2. Kapitali aksionereve te shoq. Meme (PF te kons.)</t>
  </si>
  <si>
    <t xml:space="preserve"> 3. Kapitali aksionar</t>
  </si>
  <si>
    <t xml:space="preserve"> 4. Primi I aksionar</t>
  </si>
  <si>
    <t xml:space="preserve"> 5. Njesite ose aksionet e thesarit (Negative)</t>
  </si>
  <si>
    <t xml:space="preserve"> 6. Rezervat statutore</t>
  </si>
  <si>
    <t xml:space="preserve"> 7. Rezervat ligjore</t>
  </si>
  <si>
    <t xml:space="preserve"> 8. Rezervat e tjera investime</t>
  </si>
  <si>
    <t xml:space="preserve"> 9. Fitimet e pa shperndara</t>
  </si>
  <si>
    <t>10. Fitimi (Humbja) e vitit financiar</t>
  </si>
  <si>
    <t xml:space="preserve">  TOTALI I PASIVEVE DHE KAPITALIT  ( I + III )</t>
  </si>
  <si>
    <t>Pasqyra Financiare te Vitit 2011</t>
  </si>
  <si>
    <t>Nje pasqyre e pa konsoliduar</t>
  </si>
  <si>
    <t>Emertimi</t>
  </si>
  <si>
    <t>Kapitali aksionar</t>
  </si>
  <si>
    <t>Primi aksionit</t>
  </si>
  <si>
    <t>Aksione thesari</t>
  </si>
  <si>
    <t>Rezerva stat. ligjore</t>
  </si>
  <si>
    <t>rezerve te tjera (invest)</t>
  </si>
  <si>
    <t>Fitimi pashperndare</t>
  </si>
  <si>
    <t>TOTALI</t>
  </si>
  <si>
    <t>investime</t>
  </si>
  <si>
    <t>I.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</si>
  <si>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</si>
  <si>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</si>
  <si>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</si>
  <si>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</si>
  <si>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</si>
  <si>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</si>
  <si>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</si>
  <si>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I aksionereve</t>
  </si>
  <si>
    <t>Emetimi I kapitalit aksionar</t>
  </si>
  <si>
    <t>Aksione te thesari te riblera</t>
  </si>
  <si>
    <t>Pozicioni me 31 dhjetor 2010</t>
  </si>
  <si>
    <t>Pasqyrat e Ndryshimeve ne Kapital 2011</t>
  </si>
  <si>
    <t>Pozicioni me 31 dhjetor 2011</t>
  </si>
  <si>
    <t>Emri dhe forma ligjore</t>
  </si>
  <si>
    <t xml:space="preserve">GARDEN LINE </t>
  </si>
  <si>
    <t>Sh.p.k</t>
  </si>
  <si>
    <t>Nipti</t>
  </si>
  <si>
    <t>K 11427004 I</t>
  </si>
  <si>
    <t xml:space="preserve">Adresa e selise </t>
  </si>
  <si>
    <t xml:space="preserve">VORE    MARIKAJ </t>
  </si>
  <si>
    <t xml:space="preserve">        </t>
  </si>
  <si>
    <t xml:space="preserve">Tirane </t>
  </si>
  <si>
    <t>Data e krijimit</t>
  </si>
  <si>
    <t>19.03.2001</t>
  </si>
  <si>
    <t>Nr. I Regjistrit tregetar</t>
  </si>
  <si>
    <t>VEPRIMTARIA KRYESORE</t>
  </si>
  <si>
    <t xml:space="preserve">IMP EXP  Bime Dekoratiev </t>
  </si>
  <si>
    <t>Kopshtari   etje.</t>
  </si>
  <si>
    <t xml:space="preserve">PASQYRAT FINANCIARE </t>
  </si>
  <si>
    <t>(Ne zbatim te standartit Kombetar te Kontabilitetit nr 2 dhe ligjit</t>
  </si>
  <si>
    <t>nr 9228 date 29.04.2008 "Per Kontabilitetin dhe Pasqyrat Financiare)</t>
  </si>
  <si>
    <t xml:space="preserve">VITI </t>
  </si>
  <si>
    <t xml:space="preserve">Pasqyrat financiare jane individuale </t>
  </si>
  <si>
    <t>Pasqyrat financiare jane te konsoliduara</t>
  </si>
  <si>
    <t xml:space="preserve">Pasqyrat financiare jane te shprehura ne </t>
  </si>
  <si>
    <t xml:space="preserve">Pasqyrat financiare jane te rumbullakosura ne  </t>
  </si>
  <si>
    <t xml:space="preserve">Periudha Kontabile e Pasqyrave Financiare </t>
  </si>
  <si>
    <t xml:space="preserve">nga </t>
  </si>
  <si>
    <t>deri</t>
  </si>
  <si>
    <t>Data e mbylljes se Pasqyrave Financiare</t>
  </si>
  <si>
    <t>01.01.2011</t>
  </si>
  <si>
    <t>31.12.2011</t>
  </si>
  <si>
    <t>Pasqyra e Fluksit Monetar - Metoda Direkte 2011</t>
  </si>
  <si>
    <t>Pasqyra e Fluksit Monetar - Metoda Direkte</t>
  </si>
  <si>
    <t xml:space="preserve">  Fluksi monetar nga veprimtarite e shfrytezimit(1-15)</t>
  </si>
  <si>
    <t xml:space="preserve">             Mjetet monetare (MM) te arketuara nga klientet</t>
  </si>
  <si>
    <t xml:space="preserve">             MM te paguara ndaj furnitore dhe punonjesve</t>
  </si>
  <si>
    <t xml:space="preserve">             Arketimet nga ortaket</t>
  </si>
  <si>
    <t xml:space="preserve">             MM te ardhura nga veprimtarite</t>
  </si>
  <si>
    <t xml:space="preserve">             Interesi i paguar</t>
  </si>
  <si>
    <t xml:space="preserve">             Tatim mbi fitimin i paguar</t>
  </si>
  <si>
    <t xml:space="preserve">             MM neto nga veprimtarite e shfrytezimit</t>
  </si>
  <si>
    <t xml:space="preserve">  Fluksi monetar nga veprimtarite investuese(9-14)</t>
  </si>
  <si>
    <t xml:space="preserve">           Blerja e njesise se kontrolluar X minus parate e Arketuara</t>
  </si>
  <si>
    <t xml:space="preserve">           Blerja e aktiveve afatgjata materiale</t>
  </si>
  <si>
    <t xml:space="preserve">          Te ardhura nga shitja e pajisjeve</t>
  </si>
  <si>
    <t xml:space="preserve">           Interesi I arketuar</t>
  </si>
  <si>
    <t xml:space="preserve">          Dividentet e arketuar</t>
  </si>
  <si>
    <t xml:space="preserve">          MM neto te perdorura ne veprimtarite investuese</t>
  </si>
  <si>
    <r>
      <t xml:space="preserve">  Fluksi monetar nga aktivitetet financiare</t>
    </r>
    <r>
      <rPr>
        <b/>
        <i/>
        <sz val="8"/>
        <rFont val="Book Antiqua"/>
        <family val="1"/>
      </rPr>
      <t xml:space="preserve"> (16-20)</t>
    </r>
  </si>
  <si>
    <t xml:space="preserve">         Te ardhura nga emetimi I kapitalit aksioner</t>
  </si>
  <si>
    <t xml:space="preserve">         Te ardhura nga huamarrje afatgjata</t>
  </si>
  <si>
    <t xml:space="preserve">         Pagesat e detyrimeve te huave financiare</t>
  </si>
  <si>
    <t xml:space="preserve">         Dividente te paguar</t>
  </si>
  <si>
    <t xml:space="preserve">         MM neto te perdorura ne Veprimtarite Financiare </t>
  </si>
  <si>
    <t xml:space="preserve">  Rritja/Renia neto e mjeteve monetare</t>
  </si>
  <si>
    <t xml:space="preserve">  Mjetet monetare ne fillim te periudhes kontabel</t>
  </si>
  <si>
    <t xml:space="preserve">  Mjetet monetare ne fund te periudhes kontabel</t>
  </si>
  <si>
    <t>30.03.2012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</si>
</sst>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_(* #,##0.0_);_(* \(#,##0.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sz val="10"/>
      <color indexed="8"/>
      <name val="Book Antiqua"/>
      <family val="1"/>
    </font>
    <font>
      <sz val="10"/>
      <color indexed="8"/>
      <name val="MS Sans Serif"/>
      <family val="2"/>
    </font>
    <font>
      <b/>
      <i/>
      <sz val="16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i/>
      <sz val="11"/>
      <name val="Book Antiqu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Times New Roman"/>
      <family val="1"/>
    </font>
    <font>
      <b/>
      <i/>
      <sz val="16"/>
      <name val="Times New Roman"/>
      <family val="1"/>
    </font>
    <font>
      <b/>
      <i/>
      <sz val="16"/>
      <name val="Arial"/>
      <family val="2"/>
    </font>
    <font>
      <b/>
      <sz val="11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i/>
      <sz val="16"/>
      <name val="Book Antiqua"/>
      <family val="1"/>
    </font>
    <font>
      <b/>
      <i/>
      <sz val="11"/>
      <name val="Book Antiqua"/>
      <family val="1"/>
    </font>
    <font>
      <sz val="11"/>
      <color indexed="62"/>
      <name val="Book Antiqua"/>
      <family val="1"/>
    </font>
    <font>
      <b/>
      <sz val="14"/>
      <color indexed="8"/>
      <name val="Book Antiqua"/>
      <family val="1"/>
    </font>
    <font>
      <sz val="14"/>
      <name val="Book Antiqua"/>
      <family val="1"/>
    </font>
    <font>
      <b/>
      <u/>
      <sz val="11"/>
      <color indexed="8"/>
      <name val="Book Antiqua"/>
      <family val="1"/>
    </font>
    <font>
      <b/>
      <sz val="11"/>
      <color indexed="8"/>
      <name val="Book Antiqua"/>
      <family val="1"/>
    </font>
    <font>
      <sz val="14"/>
      <name val="Times New Roman"/>
      <family val="1"/>
    </font>
    <font>
      <b/>
      <i/>
      <u/>
      <sz val="14"/>
      <name val="Times New Roman"/>
      <family val="1"/>
    </font>
    <font>
      <u/>
      <sz val="14"/>
      <name val="Times New Roman"/>
      <family val="1"/>
    </font>
    <font>
      <i/>
      <u/>
      <sz val="14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8"/>
      <name val="Book Antiqua"/>
      <family val="1"/>
    </font>
    <font>
      <b/>
      <i/>
      <sz val="14"/>
      <name val="Book Antiqua"/>
      <family val="1"/>
    </font>
    <font>
      <b/>
      <i/>
      <sz val="14"/>
      <color indexed="8"/>
      <name val="Book Antiqua"/>
      <family val="1"/>
    </font>
    <font>
      <sz val="14"/>
      <color indexed="8"/>
      <name val="Book Antiqua"/>
      <family val="1"/>
    </font>
    <font>
      <b/>
      <i/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62">
    <xf numFmtId="0" fontId="0" fillId="0" borderId="0" xfId="0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1" applyNumberFormat="1" applyFont="1" applyFill="1" applyBorder="1"/>
    <xf numFmtId="9" fontId="2" fillId="0" borderId="3" xfId="0" applyNumberFormat="1" applyFont="1" applyFill="1" applyBorder="1"/>
    <xf numFmtId="0" fontId="2" fillId="0" borderId="0" xfId="0" applyFont="1" applyFill="1"/>
    <xf numFmtId="164" fontId="2" fillId="0" borderId="3" xfId="0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/>
    <xf numFmtId="21" fontId="2" fillId="0" borderId="3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/>
    <xf numFmtId="43" fontId="5" fillId="0" borderId="3" xfId="1" applyFont="1" applyFill="1" applyBorder="1" applyAlignment="1">
      <alignment horizontal="left"/>
    </xf>
    <xf numFmtId="49" fontId="5" fillId="0" borderId="3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1" applyNumberFormat="1" applyFont="1" applyFill="1"/>
    <xf numFmtId="164" fontId="2" fillId="0" borderId="0" xfId="1" applyNumberFormat="1" applyFont="1" applyFill="1"/>
    <xf numFmtId="21" fontId="2" fillId="0" borderId="3" xfId="0" applyNumberFormat="1" applyFont="1" applyFill="1" applyBorder="1"/>
    <xf numFmtId="0" fontId="4" fillId="0" borderId="0" xfId="0" applyFont="1" applyFill="1" applyAlignment="1">
      <alignment horizontal="center"/>
    </xf>
    <xf numFmtId="49" fontId="2" fillId="0" borderId="3" xfId="0" applyNumberFormat="1" applyFont="1" applyFill="1" applyBorder="1"/>
    <xf numFmtId="21" fontId="2" fillId="0" borderId="3" xfId="0" applyNumberFormat="1" applyFont="1" applyFill="1" applyBorder="1" applyAlignment="1"/>
    <xf numFmtId="21" fontId="3" fillId="0" borderId="3" xfId="0" applyNumberFormat="1" applyFont="1" applyFill="1" applyBorder="1" applyAlignment="1"/>
    <xf numFmtId="46" fontId="2" fillId="0" borderId="3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7" xfId="1" applyNumberFormat="1" applyFont="1" applyFill="1" applyBorder="1"/>
    <xf numFmtId="164" fontId="3" fillId="2" borderId="8" xfId="1" applyNumberFormat="1" applyFont="1" applyFill="1" applyBorder="1"/>
    <xf numFmtId="0" fontId="7" fillId="0" borderId="0" xfId="0" applyFont="1"/>
    <xf numFmtId="0" fontId="7" fillId="0" borderId="0" xfId="0" applyFont="1" applyBorder="1"/>
    <xf numFmtId="0" fontId="8" fillId="0" borderId="0" xfId="2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9" fillId="0" borderId="0" xfId="2" applyFont="1" applyBorder="1" applyAlignment="1">
      <alignment horizontal="center"/>
    </xf>
    <xf numFmtId="0" fontId="9" fillId="0" borderId="0" xfId="2" applyFont="1" applyBorder="1"/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2" xfId="2" applyFont="1" applyBorder="1" applyAlignment="1"/>
    <xf numFmtId="164" fontId="9" fillId="0" borderId="2" xfId="1" applyNumberFormat="1" applyFont="1" applyBorder="1"/>
    <xf numFmtId="0" fontId="8" fillId="0" borderId="10" xfId="2" applyFont="1" applyBorder="1" applyAlignment="1"/>
    <xf numFmtId="164" fontId="8" fillId="0" borderId="3" xfId="1" applyNumberFormat="1" applyFont="1" applyBorder="1"/>
    <xf numFmtId="0" fontId="8" fillId="0" borderId="3" xfId="2" applyFont="1" applyBorder="1" applyAlignment="1"/>
    <xf numFmtId="164" fontId="9" fillId="0" borderId="3" xfId="1" applyNumberFormat="1" applyFont="1" applyBorder="1"/>
    <xf numFmtId="164" fontId="9" fillId="0" borderId="3" xfId="1" applyNumberFormat="1" applyFont="1" applyFill="1" applyBorder="1"/>
    <xf numFmtId="0" fontId="10" fillId="0" borderId="10" xfId="2" applyFont="1" applyBorder="1" applyAlignment="1"/>
    <xf numFmtId="0" fontId="10" fillId="0" borderId="10" xfId="2" applyFont="1" applyBorder="1" applyAlignment="1">
      <alignment horizontal="center"/>
    </xf>
    <xf numFmtId="16" fontId="8" fillId="0" borderId="3" xfId="2" applyNumberFormat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0" xfId="2" applyFont="1" applyBorder="1" applyAlignment="1"/>
    <xf numFmtId="0" fontId="9" fillId="0" borderId="10" xfId="2" applyFont="1" applyBorder="1"/>
    <xf numFmtId="0" fontId="9" fillId="0" borderId="0" xfId="2" applyFont="1" applyBorder="1" applyAlignment="1"/>
    <xf numFmtId="164" fontId="9" fillId="0" borderId="0" xfId="1" applyNumberFormat="1" applyFont="1" applyBorder="1"/>
    <xf numFmtId="165" fontId="8" fillId="0" borderId="0" xfId="2" applyNumberFormat="1" applyFont="1" applyBorder="1"/>
    <xf numFmtId="165" fontId="9" fillId="0" borderId="0" xfId="2" applyNumberFormat="1" applyFont="1" applyBorder="1"/>
    <xf numFmtId="0" fontId="13" fillId="0" borderId="0" xfId="2" applyFont="1"/>
    <xf numFmtId="0" fontId="15" fillId="0" borderId="0" xfId="0" applyFont="1"/>
    <xf numFmtId="0" fontId="13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0" xfId="2" applyFont="1" applyBorder="1"/>
    <xf numFmtId="0" fontId="19" fillId="0" borderId="12" xfId="2" applyFont="1" applyBorder="1" applyAlignment="1">
      <alignment horizontal="center"/>
    </xf>
    <xf numFmtId="0" fontId="19" fillId="0" borderId="13" xfId="2" applyFont="1" applyBorder="1" applyAlignment="1">
      <alignment horizontal="center"/>
    </xf>
    <xf numFmtId="0" fontId="19" fillId="0" borderId="2" xfId="2" applyFont="1" applyBorder="1" applyAlignment="1">
      <alignment horizontal="center"/>
    </xf>
    <xf numFmtId="0" fontId="19" fillId="0" borderId="15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2" xfId="2" applyFont="1" applyBorder="1" applyAlignment="1"/>
    <xf numFmtId="164" fontId="16" fillId="0" borderId="2" xfId="1" applyNumberFormat="1" applyFont="1" applyBorder="1"/>
    <xf numFmtId="164" fontId="16" fillId="0" borderId="15" xfId="1" applyNumberFormat="1" applyFont="1" applyBorder="1"/>
    <xf numFmtId="0" fontId="13" fillId="0" borderId="10" xfId="2" applyFont="1" applyBorder="1" applyAlignment="1"/>
    <xf numFmtId="164" fontId="13" fillId="0" borderId="3" xfId="1" applyNumberFormat="1" applyFont="1" applyBorder="1"/>
    <xf numFmtId="164" fontId="13" fillId="0" borderId="17" xfId="1" applyNumberFormat="1" applyFont="1" applyBorder="1"/>
    <xf numFmtId="164" fontId="13" fillId="0" borderId="10" xfId="1" applyNumberFormat="1" applyFont="1" applyBorder="1"/>
    <xf numFmtId="0" fontId="16" fillId="0" borderId="16" xfId="2" applyFont="1" applyBorder="1" applyAlignment="1">
      <alignment horizontal="center"/>
    </xf>
    <xf numFmtId="0" fontId="19" fillId="0" borderId="3" xfId="2" applyFont="1" applyBorder="1" applyAlignment="1"/>
    <xf numFmtId="164" fontId="16" fillId="0" borderId="3" xfId="1" applyNumberFormat="1" applyFont="1" applyBorder="1"/>
    <xf numFmtId="164" fontId="13" fillId="0" borderId="3" xfId="1" applyNumberFormat="1" applyFont="1" applyFill="1" applyBorder="1"/>
    <xf numFmtId="166" fontId="13" fillId="0" borderId="17" xfId="1" applyNumberFormat="1" applyFont="1" applyBorder="1"/>
    <xf numFmtId="0" fontId="13" fillId="0" borderId="10" xfId="2" applyFont="1" applyBorder="1" applyAlignment="1">
      <alignment horizontal="left"/>
    </xf>
    <xf numFmtId="0" fontId="20" fillId="0" borderId="10" xfId="2" applyFont="1" applyBorder="1" applyAlignment="1"/>
    <xf numFmtId="0" fontId="19" fillId="0" borderId="10" xfId="2" applyFont="1" applyBorder="1" applyAlignment="1">
      <alignment horizontal="center"/>
    </xf>
    <xf numFmtId="0" fontId="19" fillId="0" borderId="10" xfId="2" applyFont="1" applyBorder="1" applyAlignment="1"/>
    <xf numFmtId="0" fontId="13" fillId="0" borderId="18" xfId="2" applyFont="1" applyBorder="1" applyAlignment="1">
      <alignment horizontal="center"/>
    </xf>
    <xf numFmtId="0" fontId="13" fillId="0" borderId="19" xfId="2" applyFont="1" applyBorder="1" applyAlignment="1"/>
    <xf numFmtId="164" fontId="13" fillId="0" borderId="20" xfId="1" applyNumberFormat="1" applyFont="1" applyBorder="1"/>
    <xf numFmtId="166" fontId="13" fillId="0" borderId="21" xfId="1" applyNumberFormat="1" applyFont="1" applyBorder="1"/>
    <xf numFmtId="0" fontId="13" fillId="0" borderId="0" xfId="2" applyFont="1" applyBorder="1" applyAlignment="1"/>
    <xf numFmtId="164" fontId="13" fillId="0" borderId="0" xfId="1" applyNumberFormat="1" applyFont="1" applyBorder="1"/>
    <xf numFmtId="0" fontId="0" fillId="0" borderId="0" xfId="0" applyBorder="1"/>
    <xf numFmtId="0" fontId="16" fillId="0" borderId="0" xfId="2" applyFont="1" applyBorder="1" applyAlignment="1"/>
    <xf numFmtId="165" fontId="13" fillId="0" borderId="0" xfId="2" applyNumberFormat="1" applyFont="1" applyBorder="1"/>
    <xf numFmtId="0" fontId="21" fillId="0" borderId="0" xfId="2" applyFont="1" applyBorder="1"/>
    <xf numFmtId="165" fontId="22" fillId="0" borderId="0" xfId="2" applyNumberFormat="1" applyFont="1" applyBorder="1"/>
    <xf numFmtId="0" fontId="21" fillId="0" borderId="0" xfId="2" applyFont="1" applyBorder="1" applyAlignment="1">
      <alignment horizontal="center"/>
    </xf>
    <xf numFmtId="165" fontId="21" fillId="0" borderId="0" xfId="2" applyNumberFormat="1" applyFont="1" applyBorder="1"/>
    <xf numFmtId="0" fontId="23" fillId="0" borderId="0" xfId="0" applyFont="1"/>
    <xf numFmtId="0" fontId="8" fillId="0" borderId="0" xfId="3" applyFont="1" applyAlignment="1">
      <alignment horizontal="center"/>
    </xf>
    <xf numFmtId="0" fontId="8" fillId="0" borderId="0" xfId="3" applyFont="1"/>
    <xf numFmtId="0" fontId="24" fillId="0" borderId="12" xfId="3" applyFont="1" applyBorder="1" applyAlignment="1">
      <alignment horizontal="center"/>
    </xf>
    <xf numFmtId="0" fontId="24" fillId="0" borderId="13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4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0" xfId="3" applyFont="1" applyBorder="1" applyAlignment="1">
      <alignment horizontal="center"/>
    </xf>
    <xf numFmtId="0" fontId="8" fillId="0" borderId="10" xfId="3" applyFont="1" applyBorder="1" applyAlignment="1">
      <alignment horizontal="center"/>
    </xf>
    <xf numFmtId="164" fontId="9" fillId="0" borderId="17" xfId="1" applyNumberFormat="1" applyFont="1" applyBorder="1"/>
    <xf numFmtId="0" fontId="9" fillId="0" borderId="16" xfId="3" applyFont="1" applyBorder="1"/>
    <xf numFmtId="0" fontId="24" fillId="0" borderId="10" xfId="3" applyFont="1" applyBorder="1"/>
    <xf numFmtId="0" fontId="9" fillId="0" borderId="10" xfId="3" applyFont="1" applyBorder="1"/>
    <xf numFmtId="164" fontId="8" fillId="0" borderId="17" xfId="1" applyNumberFormat="1" applyFont="1" applyBorder="1"/>
    <xf numFmtId="0" fontId="8" fillId="0" borderId="16" xfId="3" applyFont="1" applyBorder="1"/>
    <xf numFmtId="0" fontId="8" fillId="0" borderId="10" xfId="3" applyFont="1" applyBorder="1"/>
    <xf numFmtId="0" fontId="24" fillId="0" borderId="3" xfId="3" applyFont="1" applyBorder="1"/>
    <xf numFmtId="0" fontId="9" fillId="0" borderId="0" xfId="3" applyFont="1" applyBorder="1"/>
    <xf numFmtId="164" fontId="8" fillId="0" borderId="3" xfId="1" applyNumberFormat="1" applyFont="1" applyFill="1" applyBorder="1"/>
    <xf numFmtId="0" fontId="8" fillId="0" borderId="18" xfId="3" applyFont="1" applyBorder="1"/>
    <xf numFmtId="0" fontId="9" fillId="0" borderId="19" xfId="3" applyFont="1" applyBorder="1"/>
    <xf numFmtId="3" fontId="8" fillId="0" borderId="20" xfId="3" applyNumberFormat="1" applyFont="1" applyBorder="1"/>
    <xf numFmtId="3" fontId="8" fillId="0" borderId="21" xfId="3" applyNumberFormat="1" applyFont="1" applyBorder="1"/>
    <xf numFmtId="0" fontId="8" fillId="0" borderId="0" xfId="3" applyFont="1" applyBorder="1"/>
    <xf numFmtId="3" fontId="8" fillId="0" borderId="0" xfId="3" applyNumberFormat="1" applyFont="1" applyBorder="1"/>
    <xf numFmtId="0" fontId="25" fillId="0" borderId="0" xfId="3" applyFont="1" applyBorder="1"/>
    <xf numFmtId="0" fontId="9" fillId="0" borderId="0" xfId="3" applyFont="1" applyBorder="1" applyAlignment="1">
      <alignment horizontal="center"/>
    </xf>
    <xf numFmtId="3" fontId="9" fillId="0" borderId="0" xfId="3" applyNumberFormat="1" applyFont="1" applyBorder="1"/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164" fontId="9" fillId="0" borderId="15" xfId="1" applyNumberFormat="1" applyFont="1" applyBorder="1"/>
    <xf numFmtId="0" fontId="9" fillId="0" borderId="16" xfId="2" applyFont="1" applyBorder="1"/>
    <xf numFmtId="0" fontId="9" fillId="0" borderId="3" xfId="2" applyFont="1" applyBorder="1" applyAlignment="1">
      <alignment horizontal="left"/>
    </xf>
    <xf numFmtId="0" fontId="9" fillId="0" borderId="22" xfId="2" applyFont="1" applyBorder="1" applyAlignment="1">
      <alignment horizontal="center"/>
    </xf>
    <xf numFmtId="0" fontId="8" fillId="0" borderId="10" xfId="2" applyFont="1" applyBorder="1"/>
    <xf numFmtId="0" fontId="8" fillId="0" borderId="3" xfId="2" applyFont="1" applyBorder="1" applyAlignment="1">
      <alignment horizontal="left"/>
    </xf>
    <xf numFmtId="0" fontId="9" fillId="0" borderId="18" xfId="2" applyFont="1" applyBorder="1"/>
    <xf numFmtId="0" fontId="9" fillId="0" borderId="19" xfId="2" applyFont="1" applyBorder="1"/>
    <xf numFmtId="164" fontId="8" fillId="0" borderId="21" xfId="1" applyNumberFormat="1" applyFont="1" applyBorder="1"/>
    <xf numFmtId="164" fontId="9" fillId="0" borderId="0" xfId="2" applyNumberFormat="1" applyFont="1" applyBorder="1"/>
    <xf numFmtId="0" fontId="8" fillId="0" borderId="0" xfId="2" applyFont="1" applyBorder="1"/>
    <xf numFmtId="0" fontId="8" fillId="0" borderId="0" xfId="2" applyFont="1"/>
    <xf numFmtId="0" fontId="8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 applyBorder="1"/>
    <xf numFmtId="0" fontId="29" fillId="0" borderId="12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29" fillId="0" borderId="16" xfId="0" applyFont="1" applyBorder="1" applyAlignment="1">
      <alignment horizontal="center"/>
    </xf>
    <xf numFmtId="0" fontId="29" fillId="0" borderId="3" xfId="0" applyFont="1" applyBorder="1"/>
    <xf numFmtId="0" fontId="8" fillId="0" borderId="16" xfId="0" applyFont="1" applyBorder="1" applyAlignment="1">
      <alignment horizontal="center"/>
    </xf>
    <xf numFmtId="0" fontId="8" fillId="0" borderId="3" xfId="0" applyFont="1" applyBorder="1"/>
    <xf numFmtId="0" fontId="8" fillId="0" borderId="23" xfId="0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/>
    <xf numFmtId="164" fontId="8" fillId="0" borderId="0" xfId="1" applyNumberFormat="1" applyFont="1" applyBorder="1"/>
    <xf numFmtId="0" fontId="8" fillId="0" borderId="3" xfId="0" applyFont="1" applyFill="1" applyBorder="1"/>
    <xf numFmtId="0" fontId="8" fillId="0" borderId="24" xfId="0" applyFont="1" applyFill="1" applyBorder="1"/>
    <xf numFmtId="0" fontId="29" fillId="0" borderId="1" xfId="0" applyFont="1" applyFill="1" applyBorder="1"/>
    <xf numFmtId="164" fontId="9" fillId="0" borderId="1" xfId="1" applyNumberFormat="1" applyFont="1" applyBorder="1"/>
    <xf numFmtId="0" fontId="8" fillId="0" borderId="25" xfId="0" applyFont="1" applyFill="1" applyBorder="1" applyAlignment="1">
      <alignment horizontal="center"/>
    </xf>
    <xf numFmtId="0" fontId="29" fillId="0" borderId="3" xfId="0" applyFont="1" applyFill="1" applyBorder="1"/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9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29" fillId="0" borderId="18" xfId="0" applyFont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164" fontId="9" fillId="0" borderId="20" xfId="1" applyNumberFormat="1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30" fillId="0" borderId="26" xfId="0" applyFont="1" applyBorder="1"/>
    <xf numFmtId="0" fontId="31" fillId="0" borderId="27" xfId="0" applyFont="1" applyBorder="1"/>
    <xf numFmtId="0" fontId="30" fillId="0" borderId="27" xfId="0" applyFont="1" applyBorder="1"/>
    <xf numFmtId="0" fontId="32" fillId="0" borderId="27" xfId="0" applyFont="1" applyBorder="1"/>
    <xf numFmtId="0" fontId="33" fillId="0" borderId="27" xfId="0" applyFont="1" applyBorder="1"/>
    <xf numFmtId="0" fontId="32" fillId="0" borderId="28" xfId="0" applyFont="1" applyBorder="1"/>
    <xf numFmtId="0" fontId="30" fillId="0" borderId="9" xfId="0" applyFont="1" applyBorder="1"/>
    <xf numFmtId="0" fontId="17" fillId="0" borderId="0" xfId="0" applyFont="1" applyBorder="1"/>
    <xf numFmtId="0" fontId="30" fillId="0" borderId="0" xfId="0" applyFont="1" applyBorder="1"/>
    <xf numFmtId="0" fontId="32" fillId="0" borderId="0" xfId="0" applyFont="1" applyBorder="1"/>
    <xf numFmtId="0" fontId="32" fillId="0" borderId="29" xfId="0" applyFont="1" applyBorder="1"/>
    <xf numFmtId="0" fontId="31" fillId="0" borderId="0" xfId="0" applyFont="1" applyBorder="1"/>
    <xf numFmtId="0" fontId="30" fillId="0" borderId="29" xfId="0" applyFont="1" applyBorder="1"/>
    <xf numFmtId="0" fontId="34" fillId="0" borderId="0" xfId="0" applyFont="1" applyBorder="1"/>
    <xf numFmtId="14" fontId="32" fillId="0" borderId="0" xfId="0" applyNumberFormat="1" applyFont="1" applyBorder="1"/>
    <xf numFmtId="0" fontId="18" fillId="0" borderId="0" xfId="0" applyFont="1" applyBorder="1"/>
    <xf numFmtId="0" fontId="14" fillId="0" borderId="0" xfId="0" applyFont="1" applyBorder="1"/>
    <xf numFmtId="0" fontId="35" fillId="0" borderId="0" xfId="0" applyFont="1" applyBorder="1"/>
    <xf numFmtId="0" fontId="18" fillId="0" borderId="29" xfId="0" applyFont="1" applyBorder="1"/>
    <xf numFmtId="0" fontId="36" fillId="0" borderId="29" xfId="0" applyFont="1" applyBorder="1" applyAlignment="1">
      <alignment horizontal="center"/>
    </xf>
    <xf numFmtId="0" fontId="30" fillId="0" borderId="30" xfId="0" applyFont="1" applyBorder="1"/>
    <xf numFmtId="0" fontId="30" fillId="0" borderId="8" xfId="0" applyFont="1" applyBorder="1"/>
    <xf numFmtId="0" fontId="30" fillId="0" borderId="31" xfId="0" applyFont="1" applyBorder="1"/>
    <xf numFmtId="0" fontId="37" fillId="0" borderId="0" xfId="0" applyFont="1"/>
    <xf numFmtId="0" fontId="38" fillId="0" borderId="0" xfId="0" applyFont="1"/>
    <xf numFmtId="164" fontId="37" fillId="0" borderId="0" xfId="1" applyNumberFormat="1" applyFont="1"/>
    <xf numFmtId="0" fontId="40" fillId="0" borderId="0" xfId="0" applyFont="1" applyAlignment="1">
      <alignment horizontal="center"/>
    </xf>
    <xf numFmtId="164" fontId="40" fillId="0" borderId="0" xfId="1" applyNumberFormat="1" applyFont="1" applyAlignment="1">
      <alignment horizontal="center"/>
    </xf>
    <xf numFmtId="164" fontId="4" fillId="0" borderId="0" xfId="1" applyNumberFormat="1" applyFont="1"/>
    <xf numFmtId="164" fontId="8" fillId="0" borderId="12" xfId="1" applyNumberFormat="1" applyFont="1" applyBorder="1" applyAlignment="1">
      <alignment horizontal="center"/>
    </xf>
    <xf numFmtId="164" fontId="8" fillId="0" borderId="13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24" fillId="0" borderId="2" xfId="2" applyFont="1" applyBorder="1" applyAlignment="1"/>
    <xf numFmtId="0" fontId="8" fillId="0" borderId="10" xfId="2" applyFont="1" applyBorder="1" applyAlignment="1">
      <alignment horizontal="left"/>
    </xf>
    <xf numFmtId="0" fontId="24" fillId="0" borderId="10" xfId="2" applyFont="1" applyBorder="1" applyAlignment="1"/>
    <xf numFmtId="0" fontId="9" fillId="0" borderId="32" xfId="2" applyFont="1" applyBorder="1" applyAlignment="1"/>
    <xf numFmtId="164" fontId="8" fillId="0" borderId="33" xfId="1" applyNumberFormat="1" applyFont="1" applyBorder="1"/>
    <xf numFmtId="164" fontId="9" fillId="0" borderId="33" xfId="1" applyNumberFormat="1" applyFont="1" applyBorder="1"/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/>
    <xf numFmtId="164" fontId="8" fillId="0" borderId="20" xfId="1" applyNumberFormat="1" applyFont="1" applyBorder="1"/>
    <xf numFmtId="0" fontId="8" fillId="0" borderId="0" xfId="2" applyFont="1" applyBorder="1" applyAlignment="1"/>
    <xf numFmtId="164" fontId="8" fillId="0" borderId="0" xfId="2" applyNumberFormat="1" applyFont="1" applyBorder="1" applyAlignment="1"/>
    <xf numFmtId="0" fontId="7" fillId="0" borderId="0" xfId="3" applyFont="1" applyAlignment="1">
      <alignment horizontal="center"/>
    </xf>
    <xf numFmtId="0" fontId="24" fillId="0" borderId="11" xfId="3" applyFont="1" applyBorder="1" applyAlignment="1">
      <alignment horizontal="center"/>
    </xf>
    <xf numFmtId="0" fontId="24" fillId="0" borderId="14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24" fillId="0" borderId="12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7" fillId="0" borderId="14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9" fillId="0" borderId="12" xfId="2" applyFont="1" applyBorder="1" applyAlignment="1">
      <alignment horizontal="center"/>
    </xf>
    <xf numFmtId="0" fontId="30" fillId="0" borderId="0" xfId="0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lma\vilma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lma\vilma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lma\vilma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lma\vilma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ilma\vilma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qyrat%20financiare%20viti%202010%20-%20GL%20Koso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SA"/>
      <sheetName val="venetoE "/>
      <sheetName val="veneto lek "/>
      <sheetName val="bkt €"/>
      <sheetName val="bkt.lek"/>
      <sheetName val="b.€ intesa"/>
      <sheetName val="b.lek.intesa"/>
      <sheetName val="rogat"/>
      <sheetName val="klient 11"/>
      <sheetName val="p.arke"/>
      <sheetName val="blerjet 2011"/>
      <sheetName val="lb.bl 11"/>
      <sheetName val="bl.vend"/>
      <sheetName val="bilanci"/>
      <sheetName val="f.m.dir."/>
      <sheetName val="mjk.11"/>
      <sheetName val="amort."/>
      <sheetName val="Foglio1"/>
      <sheetName val="imp.11"/>
      <sheetName val="tvsh"/>
      <sheetName val="nd,kap kos"/>
      <sheetName val="a-sh.fun"/>
      <sheetName val="a-sh.nat"/>
      <sheetName val="akt"/>
      <sheetName val="pas."/>
      <sheetName val="vodafon "/>
      <sheetName val="svilupo€"/>
      <sheetName val="sig-025"/>
      <sheetName val="sig-027.1"/>
      <sheetName val="shitje 11"/>
      <sheetName val="b.tirana.lek"/>
      <sheetName val="b.p.cred.lek"/>
      <sheetName val="btirana€"/>
      <sheetName val="B&gt;ProcLEK"/>
      <sheetName val="b.€.rajf"/>
      <sheetName val="b.rajff.l"/>
      <sheetName val="b.svilupo.lek"/>
      <sheetName val="rajf .b.€"/>
      <sheetName val="Sheet5"/>
      <sheetName val="Sheet4"/>
      <sheetName val="AAM2011"/>
      <sheetName val="klient "/>
      <sheetName val="618"/>
      <sheetName val="f.m.ind"/>
      <sheetName val="furnt"/>
      <sheetName val="llog.370"/>
      <sheetName val="P2"/>
      <sheetName val="k.2010"/>
      <sheetName val="661"/>
      <sheetName val="638"/>
      <sheetName val="PI"/>
      <sheetName val="inv mj.k 2010"/>
      <sheetName val="nd.kap.pakons"/>
      <sheetName val="sig alberto"/>
      <sheetName val="bordero"/>
      <sheetName val="k. 2008"/>
      <sheetName val="t.fitimi"/>
      <sheetName val="furnitore"/>
      <sheetName val="mj.k.lizing"/>
      <sheetName val="kredia"/>
      <sheetName val="k.2009"/>
      <sheetName val="permb bankave"/>
      <sheetName val="inv.mjk"/>
      <sheetName val="kont678"/>
      <sheetName val="lizing 07-11"/>
      <sheetName val="kont.286"/>
      <sheetName val="kont 543"/>
      <sheetName val="kont 559"/>
      <sheetName val="kont 535"/>
      <sheetName val="144"/>
      <sheetName val="286"/>
      <sheetName val="148"/>
      <sheetName val="113"/>
      <sheetName val="543"/>
      <sheetName val="559"/>
      <sheetName val="535"/>
      <sheetName val="678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H5">
            <v>10500000</v>
          </cell>
          <cell r="L5">
            <v>10500000</v>
          </cell>
        </row>
        <row r="6">
          <cell r="H6">
            <v>2560060</v>
          </cell>
          <cell r="L6">
            <v>2560060</v>
          </cell>
        </row>
        <row r="7">
          <cell r="H7">
            <v>45064</v>
          </cell>
          <cell r="L7">
            <v>45064</v>
          </cell>
        </row>
        <row r="8">
          <cell r="H8">
            <v>33661501</v>
          </cell>
          <cell r="I8">
            <v>0</v>
          </cell>
          <cell r="L8">
            <v>33753359</v>
          </cell>
        </row>
        <row r="9">
          <cell r="H9">
            <v>91858</v>
          </cell>
          <cell r="L9">
            <v>129719323.70890591</v>
          </cell>
        </row>
        <row r="11">
          <cell r="H11">
            <v>79207331</v>
          </cell>
          <cell r="I11">
            <v>9129875.8000000007</v>
          </cell>
          <cell r="L11">
            <v>70077455.200000003</v>
          </cell>
        </row>
        <row r="13">
          <cell r="K13">
            <v>0</v>
          </cell>
        </row>
        <row r="15">
          <cell r="I15">
            <v>58579885.07949999</v>
          </cell>
        </row>
        <row r="16">
          <cell r="I16">
            <v>0</v>
          </cell>
        </row>
        <row r="19">
          <cell r="K19">
            <v>0</v>
          </cell>
        </row>
        <row r="20">
          <cell r="G20">
            <v>84047520</v>
          </cell>
          <cell r="I20">
            <v>164271692.48660001</v>
          </cell>
          <cell r="K20">
            <v>88047509.048900008</v>
          </cell>
          <cell r="M20">
            <v>3999989.0489000082</v>
          </cell>
        </row>
        <row r="21">
          <cell r="G21">
            <v>3679012</v>
          </cell>
          <cell r="I21">
            <v>0</v>
          </cell>
          <cell r="K21">
            <v>3679012</v>
          </cell>
          <cell r="M21">
            <v>0</v>
          </cell>
        </row>
        <row r="22">
          <cell r="H22">
            <v>49942736</v>
          </cell>
          <cell r="I22">
            <v>320303684.64999998</v>
          </cell>
          <cell r="L22">
            <v>17368746.971020043</v>
          </cell>
        </row>
        <row r="23">
          <cell r="G23">
            <v>42755085</v>
          </cell>
          <cell r="J23">
            <v>382724832.25630003</v>
          </cell>
          <cell r="K23">
            <v>85709917.971699893</v>
          </cell>
        </row>
        <row r="24">
          <cell r="G24">
            <v>819808</v>
          </cell>
          <cell r="L24">
            <v>1879053.6830799878</v>
          </cell>
        </row>
        <row r="25">
          <cell r="I25">
            <v>0</v>
          </cell>
          <cell r="K25">
            <v>0</v>
          </cell>
        </row>
        <row r="26">
          <cell r="G26">
            <v>20443</v>
          </cell>
          <cell r="I26">
            <v>2112780</v>
          </cell>
          <cell r="K26">
            <v>-12602113.133211769</v>
          </cell>
        </row>
        <row r="27">
          <cell r="K27">
            <v>0</v>
          </cell>
        </row>
        <row r="28">
          <cell r="H28">
            <v>578286</v>
          </cell>
          <cell r="I28">
            <v>10408463.713987693</v>
          </cell>
          <cell r="L28">
            <v>472363.19524307549</v>
          </cell>
        </row>
        <row r="29">
          <cell r="I29">
            <v>3291644</v>
          </cell>
          <cell r="L29">
            <v>448732.63082923042</v>
          </cell>
        </row>
        <row r="31">
          <cell r="G31">
            <v>536990</v>
          </cell>
          <cell r="K31">
            <v>536990</v>
          </cell>
        </row>
        <row r="32">
          <cell r="G32">
            <v>2652529</v>
          </cell>
          <cell r="K32">
            <v>3579415.5222998857</v>
          </cell>
        </row>
        <row r="33">
          <cell r="I33">
            <v>6845040.5719999997</v>
          </cell>
          <cell r="K33">
            <v>134258.07199999969</v>
          </cell>
        </row>
        <row r="35">
          <cell r="G35">
            <v>974143</v>
          </cell>
          <cell r="K35">
            <v>409242.73200000823</v>
          </cell>
        </row>
        <row r="43">
          <cell r="J43">
            <v>356259925.18999994</v>
          </cell>
        </row>
        <row r="44">
          <cell r="J44">
            <v>852</v>
          </cell>
        </row>
        <row r="45">
          <cell r="I45">
            <v>160271703.4377</v>
          </cell>
        </row>
        <row r="48">
          <cell r="I48">
            <v>2212265.5099999998</v>
          </cell>
        </row>
        <row r="49">
          <cell r="I49">
            <v>6681043</v>
          </cell>
        </row>
        <row r="50">
          <cell r="I50">
            <v>10302540.909230769</v>
          </cell>
        </row>
        <row r="51">
          <cell r="I51">
            <v>1720530.9168415382</v>
          </cell>
        </row>
        <row r="52">
          <cell r="I52">
            <v>2144750</v>
          </cell>
        </row>
        <row r="53">
          <cell r="I53">
            <v>914670</v>
          </cell>
        </row>
        <row r="55">
          <cell r="I55">
            <v>0</v>
          </cell>
        </row>
        <row r="56">
          <cell r="I56">
            <v>1684716.7</v>
          </cell>
        </row>
        <row r="57">
          <cell r="I57">
            <v>0</v>
          </cell>
        </row>
        <row r="58">
          <cell r="I58">
            <v>1080445.76</v>
          </cell>
        </row>
        <row r="59">
          <cell r="I59">
            <v>1232100</v>
          </cell>
        </row>
        <row r="60">
          <cell r="I60">
            <v>4528186</v>
          </cell>
        </row>
        <row r="61">
          <cell r="I61">
            <v>6557367.3200000003</v>
          </cell>
        </row>
        <row r="62">
          <cell r="I62">
            <v>79122.149999999994</v>
          </cell>
        </row>
        <row r="63">
          <cell r="I63">
            <v>9497974.1541099995</v>
          </cell>
        </row>
        <row r="64">
          <cell r="I64">
            <v>2898701.4899999998</v>
          </cell>
        </row>
        <row r="67">
          <cell r="K67">
            <v>14735336.133211769</v>
          </cell>
        </row>
      </sheetData>
      <sheetData sheetId="14"/>
      <sheetData sheetId="15"/>
      <sheetData sheetId="16">
        <row r="6">
          <cell r="I6">
            <v>5324731</v>
          </cell>
          <cell r="K6">
            <v>471627.20000000007</v>
          </cell>
        </row>
        <row r="146">
          <cell r="I146">
            <v>659729.5</v>
          </cell>
          <cell r="K146">
            <v>2748.8729166666667</v>
          </cell>
        </row>
        <row r="147">
          <cell r="I147">
            <v>106827501.44013333</v>
          </cell>
          <cell r="K147">
            <v>9497974.1541099995</v>
          </cell>
        </row>
      </sheetData>
      <sheetData sheetId="17">
        <row r="225">
          <cell r="Q225">
            <v>659729.5</v>
          </cell>
        </row>
      </sheetData>
      <sheetData sheetId="18"/>
      <sheetData sheetId="19"/>
      <sheetData sheetId="20"/>
      <sheetData sheetId="21"/>
      <sheetData sheetId="22">
        <row r="19">
          <cell r="C19">
            <v>2898701.4899999998</v>
          </cell>
        </row>
        <row r="21">
          <cell r="C21">
            <v>151011175.1621176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ig o27"/>
      <sheetName val="bordero"/>
      <sheetName val="tvsh"/>
      <sheetName val="furnitor"/>
      <sheetName val="kliente"/>
      <sheetName val="shitje 07"/>
      <sheetName val="leasing"/>
      <sheetName val="Sheet3"/>
      <sheetName val="inv.mjk"/>
      <sheetName val="amort."/>
      <sheetName val="bilanci"/>
      <sheetName val="mj.k.leasing"/>
      <sheetName val="b.rajff.l"/>
      <sheetName val="b.lek.bia"/>
      <sheetName val="rogat"/>
      <sheetName val="Sheet1"/>
      <sheetName val="sig 025"/>
      <sheetName val="det tj"/>
      <sheetName val="pagat"/>
      <sheetName val="b,€.amer"/>
      <sheetName val="b.amer.lek"/>
      <sheetName val="b.€ bia"/>
      <sheetName val="kredia"/>
      <sheetName val="Sheet2"/>
      <sheetName val="imp.07"/>
      <sheetName val="Sheet4"/>
      <sheetName val="bl.vend"/>
      <sheetName val="jeta"/>
      <sheetName val="kont.286"/>
      <sheetName val="kont.148"/>
      <sheetName val="kont 144"/>
      <sheetName val="kont.113"/>
      <sheetName val="b.€.rajf"/>
      <sheetName val="p.4"/>
      <sheetName val="dek.f"/>
      <sheetName val="t.fitimi"/>
      <sheetName val="p.3"/>
      <sheetName val="vodafon "/>
      <sheetName val="furnt"/>
      <sheetName val="dekl"/>
      <sheetName val="permb leising"/>
      <sheetName val="p.arke"/>
      <sheetName val="lik leasing"/>
      <sheetName val="286"/>
      <sheetName val="144"/>
      <sheetName val="148"/>
      <sheetName val="113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 t="str">
            <v>pirun ngites me goma tip 938.13</v>
          </cell>
        </row>
      </sheetData>
      <sheetData sheetId="7"/>
      <sheetData sheetId="8"/>
      <sheetData sheetId="9"/>
      <sheetData sheetId="10"/>
      <sheetData sheetId="11">
        <row r="9">
          <cell r="D9" t="str">
            <v>pirun ngites me goma tip 938.13</v>
          </cell>
          <cell r="H9">
            <v>7323982.9236000003</v>
          </cell>
        </row>
        <row r="10">
          <cell r="D10" t="str">
            <v>ford fiesta</v>
          </cell>
          <cell r="H10">
            <v>1086662.5</v>
          </cell>
        </row>
        <row r="11">
          <cell r="D11" t="str">
            <v>ford ranger pick-up</v>
          </cell>
          <cell r="H11">
            <v>1247457.926</v>
          </cell>
        </row>
        <row r="12">
          <cell r="D12" t="str">
            <v>ford transit pick up</v>
          </cell>
          <cell r="H12">
            <v>2078010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5">
          <cell r="M35">
            <v>86382886.952000022</v>
          </cell>
        </row>
      </sheetData>
      <sheetData sheetId="23"/>
      <sheetData sheetId="24">
        <row r="37">
          <cell r="B37" t="str">
            <v>15.03.07</v>
          </cell>
        </row>
        <row r="39">
          <cell r="E39" t="str">
            <v>traktor</v>
          </cell>
        </row>
        <row r="100">
          <cell r="E100" t="str">
            <v>imp.vadites</v>
          </cell>
          <cell r="J100">
            <v>877765.65720000002</v>
          </cell>
          <cell r="M100">
            <v>27871</v>
          </cell>
        </row>
        <row r="120">
          <cell r="E120" t="str">
            <v xml:space="preserve">pompa </v>
          </cell>
          <cell r="F120">
            <v>2</v>
          </cell>
          <cell r="J120">
            <v>221667.08</v>
          </cell>
          <cell r="M120">
            <v>0</v>
          </cell>
        </row>
        <row r="124">
          <cell r="B124" t="str">
            <v>15.10.07</v>
          </cell>
          <cell r="E124" t="str">
            <v xml:space="preserve">kazan hekuri </v>
          </cell>
          <cell r="J124">
            <v>64617</v>
          </cell>
          <cell r="M124">
            <v>10041</v>
          </cell>
        </row>
        <row r="130">
          <cell r="B130" t="str">
            <v>23.10.07</v>
          </cell>
          <cell r="E130" t="str">
            <v xml:space="preserve">pompa </v>
          </cell>
          <cell r="F130">
            <v>3</v>
          </cell>
          <cell r="J130">
            <v>194343.32</v>
          </cell>
          <cell r="M130">
            <v>13522</v>
          </cell>
        </row>
      </sheetData>
      <sheetData sheetId="25"/>
      <sheetData sheetId="26">
        <row r="28">
          <cell r="B28" t="str">
            <v>30.01.07</v>
          </cell>
          <cell r="D28" t="str">
            <v>matrapik</v>
          </cell>
          <cell r="E28">
            <v>17650</v>
          </cell>
        </row>
        <row r="50">
          <cell r="B50" t="str">
            <v>19.05.07</v>
          </cell>
          <cell r="D50" t="str">
            <v>share</v>
          </cell>
          <cell r="E50">
            <v>41667</v>
          </cell>
        </row>
        <row r="52">
          <cell r="B52" t="str">
            <v>21.05.07</v>
          </cell>
          <cell r="D52" t="str">
            <v>makine korese</v>
          </cell>
          <cell r="E52">
            <v>58333</v>
          </cell>
        </row>
        <row r="56">
          <cell r="B56" t="str">
            <v>13.06.07</v>
          </cell>
          <cell r="D56" t="str">
            <v>aspirator</v>
          </cell>
          <cell r="E56">
            <v>66667</v>
          </cell>
        </row>
        <row r="57">
          <cell r="B57" t="str">
            <v>29.06.07</v>
          </cell>
          <cell r="D57" t="str">
            <v>makine korese</v>
          </cell>
          <cell r="E57">
            <v>10833</v>
          </cell>
        </row>
        <row r="76">
          <cell r="B76" t="str">
            <v>21,11,07</v>
          </cell>
          <cell r="D76" t="str">
            <v>dyer dritare</v>
          </cell>
          <cell r="E76">
            <v>125000</v>
          </cell>
        </row>
        <row r="83">
          <cell r="B83" t="str">
            <v>30,11,07</v>
          </cell>
          <cell r="D83" t="str">
            <v>printer</v>
          </cell>
          <cell r="E83">
            <v>133333</v>
          </cell>
        </row>
      </sheetData>
      <sheetData sheetId="27"/>
      <sheetData sheetId="28">
        <row r="3">
          <cell r="E3">
            <v>122.92</v>
          </cell>
        </row>
      </sheetData>
      <sheetData sheetId="29">
        <row r="6">
          <cell r="E6">
            <v>124.19</v>
          </cell>
        </row>
      </sheetData>
      <sheetData sheetId="30">
        <row r="3">
          <cell r="E3">
            <v>122.2</v>
          </cell>
        </row>
      </sheetData>
      <sheetData sheetId="31">
        <row r="6">
          <cell r="E6">
            <v>125.94</v>
          </cell>
        </row>
      </sheetData>
      <sheetData sheetId="32">
        <row r="189">
          <cell r="D189">
            <v>1776064.2800000003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7">
          <cell r="F277">
            <v>843496.33333333337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kt"/>
      <sheetName val="nd,kap kos"/>
      <sheetName val="amort."/>
      <sheetName val="pas."/>
      <sheetName val="a-sh.nat"/>
      <sheetName val="bilanci"/>
      <sheetName val="furnt"/>
      <sheetName val="a-sh.fun"/>
      <sheetName val="f.m.dir."/>
      <sheetName val="f.m.ind"/>
      <sheetName val="nd.kap.pakons"/>
      <sheetName val="Sheet9"/>
      <sheetName val="sig o27"/>
      <sheetName val="sig 027"/>
      <sheetName val="sig-025"/>
      <sheetName val="sig 025"/>
      <sheetName val="rogat"/>
      <sheetName val="bordero"/>
      <sheetName val="t.fitimi"/>
      <sheetName val="b.amer.lek"/>
      <sheetName val="bkt €"/>
      <sheetName val="bkt.lek"/>
      <sheetName val="kredia"/>
      <sheetName val="p.arke"/>
      <sheetName val="shitje 08"/>
      <sheetName val="lb shitjeve 09"/>
      <sheetName val="vodafon "/>
      <sheetName val="lb.bl 09"/>
      <sheetName val="lb.blerje"/>
      <sheetName val="tvsh"/>
      <sheetName val="Sheet2"/>
      <sheetName val="imp.08"/>
      <sheetName val="mj.k.lizing"/>
      <sheetName val="b.lek.intesa"/>
      <sheetName val="b,€amer"/>
      <sheetName val="lb.shitje 08"/>
      <sheetName val="rajf .b.€"/>
      <sheetName val="permb bankave"/>
      <sheetName val="bl.vend"/>
      <sheetName val="b.rajff.l"/>
      <sheetName val="b.€.rajf"/>
      <sheetName val="sabriu"/>
      <sheetName val="iliri"/>
      <sheetName val="b.€ intesa"/>
      <sheetName val="jeta"/>
      <sheetName val="Sheet1"/>
      <sheetName val="inv.mjk"/>
      <sheetName val="lizing 08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p.4"/>
      <sheetName val="dek.f"/>
      <sheetName val="det tj"/>
      <sheetName val="pagat"/>
      <sheetName val="p.3"/>
      <sheetName val="dekl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3">
          <cell r="K43">
            <v>8508.43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0">
          <cell r="H40">
            <v>8787600</v>
          </cell>
        </row>
        <row r="41">
          <cell r="H41">
            <v>1088279.1666666665</v>
          </cell>
        </row>
        <row r="42">
          <cell r="H42">
            <v>1826681.6666666667</v>
          </cell>
        </row>
        <row r="43">
          <cell r="H43">
            <v>7420640</v>
          </cell>
        </row>
      </sheetData>
      <sheetData sheetId="33"/>
      <sheetData sheetId="34"/>
      <sheetData sheetId="35">
        <row r="4688">
          <cell r="D4688">
            <v>6806400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0">
          <cell r="F30">
            <v>8875.56</v>
          </cell>
        </row>
      </sheetData>
      <sheetData sheetId="49">
        <row r="39">
          <cell r="F39">
            <v>2767.05</v>
          </cell>
        </row>
      </sheetData>
      <sheetData sheetId="50">
        <row r="35">
          <cell r="F35">
            <v>3228.1400000000003</v>
          </cell>
        </row>
      </sheetData>
      <sheetData sheetId="51">
        <row r="43">
          <cell r="F43">
            <v>5354.44</v>
          </cell>
        </row>
      </sheetData>
      <sheetData sheetId="52">
        <row r="16">
          <cell r="F16">
            <v>15270.070000000002</v>
          </cell>
        </row>
      </sheetData>
      <sheetData sheetId="53">
        <row r="16">
          <cell r="F16">
            <v>1581.6200000000001</v>
          </cell>
        </row>
      </sheetData>
      <sheetData sheetId="54">
        <row r="17">
          <cell r="F17">
            <v>3227.29</v>
          </cell>
        </row>
      </sheetData>
      <sheetData sheetId="55">
        <row r="13">
          <cell r="F13">
            <v>7887.88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rnitore"/>
      <sheetName val="vodafon "/>
      <sheetName val="t.fitimi"/>
      <sheetName val="nd,kap kos"/>
      <sheetName val="pas."/>
      <sheetName val="akt"/>
      <sheetName val="a-sh.nat"/>
      <sheetName val="imp.09"/>
      <sheetName val="a-sh.fun"/>
      <sheetName val="Sheet4"/>
      <sheetName val="bilanci"/>
      <sheetName val="k.2009"/>
      <sheetName val="llog.370"/>
      <sheetName val="amort."/>
      <sheetName val="inv mj.k 2009"/>
      <sheetName val="f.m.dir."/>
      <sheetName val="f.m.ind"/>
      <sheetName val="furnt"/>
      <sheetName val="nd.kap.pakons"/>
      <sheetName val="sig-027.1"/>
      <sheetName val="sig o27"/>
      <sheetName val="sig 027"/>
      <sheetName val="sig-025"/>
      <sheetName val="rogat"/>
      <sheetName val="sig alberto"/>
      <sheetName val="sig 025"/>
      <sheetName val="bordero"/>
      <sheetName val="lb.shitje"/>
      <sheetName val="k. 2008"/>
      <sheetName val="tvsh"/>
      <sheetName val="Sheet2"/>
      <sheetName val="kredia"/>
      <sheetName val="b.€ intesa"/>
      <sheetName val="klient "/>
      <sheetName val="rajf .b.€"/>
      <sheetName val="lb shitjeve 09"/>
      <sheetName val="b.lek.intesa"/>
      <sheetName val="p.arke"/>
      <sheetName val="bl.vend"/>
      <sheetName val="b,€amer"/>
      <sheetName val="b.amer.lek"/>
      <sheetName val="b.svilupo.lek"/>
      <sheetName val="svilupo€"/>
      <sheetName val="b.tirana.lek"/>
      <sheetName val="btirana€"/>
      <sheetName val="bkt.lek"/>
      <sheetName val="shitje 08"/>
      <sheetName val="lb.blerje"/>
      <sheetName val="permb bankave"/>
      <sheetName val="bkt €"/>
      <sheetName val="mj.k.lizing"/>
      <sheetName val="b.€.rajf"/>
      <sheetName val="lizing 09"/>
      <sheetName val="lb.bl 09"/>
      <sheetName val="b.rajff.l"/>
      <sheetName val="sabriu"/>
      <sheetName val="iliri"/>
      <sheetName val="Sheet3"/>
      <sheetName val="jeta"/>
      <sheetName val="Sheet1"/>
      <sheetName val="inv.mjk"/>
      <sheetName val="lizing 08"/>
      <sheetName val="09lizing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5"/>
      <sheetName val="djeta reps"/>
      <sheetName val="imp09"/>
      <sheetName val="Sheet7"/>
    </sheetNames>
    <sheetDataSet>
      <sheetData sheetId="0"/>
      <sheetData sheetId="1"/>
      <sheetData sheetId="2"/>
      <sheetData sheetId="3"/>
      <sheetData sheetId="4">
        <row r="118">
          <cell r="G118">
            <v>116150.98</v>
          </cell>
        </row>
      </sheetData>
      <sheetData sheetId="5">
        <row r="45">
          <cell r="G45">
            <v>25962.639999999999</v>
          </cell>
        </row>
      </sheetData>
      <sheetData sheetId="6"/>
      <sheetData sheetId="7">
        <row r="53">
          <cell r="B53" t="str">
            <v>05.09.09</v>
          </cell>
        </row>
        <row r="60">
          <cell r="B60" t="str">
            <v>12.09.09</v>
          </cell>
          <cell r="E60" t="str">
            <v>pjese mak.mb.bari  cop</v>
          </cell>
          <cell r="N60">
            <v>170121.01</v>
          </cell>
        </row>
        <row r="63">
          <cell r="B63" t="str">
            <v>12.09.09</v>
          </cell>
          <cell r="E63" t="str">
            <v>makine per mbjellje basri</v>
          </cell>
          <cell r="N63">
            <v>1936326</v>
          </cell>
        </row>
        <row r="71">
          <cell r="B71" t="str">
            <v>16.09.09</v>
          </cell>
          <cell r="E71" t="str">
            <v>mak perd.mbj.bari</v>
          </cell>
          <cell r="N71">
            <v>615678</v>
          </cell>
        </row>
        <row r="72">
          <cell r="E72" t="str">
            <v>makine per mbjellje basri</v>
          </cell>
          <cell r="N72">
            <v>3981381</v>
          </cell>
        </row>
      </sheetData>
      <sheetData sheetId="8"/>
      <sheetData sheetId="9">
        <row r="11">
          <cell r="L11">
            <v>87792533.545056358</v>
          </cell>
        </row>
      </sheetData>
      <sheetData sheetId="10">
        <row r="11">
          <cell r="L11">
            <v>87792533.545056358</v>
          </cell>
        </row>
      </sheetData>
      <sheetData sheetId="11">
        <row r="10">
          <cell r="C10">
            <v>125087837.808</v>
          </cell>
        </row>
      </sheetData>
      <sheetData sheetId="12">
        <row r="26">
          <cell r="B26" t="str">
            <v>20.05.09</v>
          </cell>
        </row>
        <row r="118">
          <cell r="G118">
            <v>116150.98</v>
          </cell>
          <cell r="H118" t="str">
            <v>Pompa 2P</v>
          </cell>
        </row>
      </sheetData>
      <sheetData sheetId="13"/>
      <sheetData sheetId="14">
        <row r="45">
          <cell r="G45">
            <v>25962.639999999999</v>
          </cell>
        </row>
        <row r="46">
          <cell r="G46">
            <v>82945.94</v>
          </cell>
        </row>
        <row r="47">
          <cell r="G47">
            <v>70253.919999999998</v>
          </cell>
        </row>
        <row r="48">
          <cell r="G48">
            <v>79080</v>
          </cell>
        </row>
        <row r="49">
          <cell r="G49">
            <v>593315.1</v>
          </cell>
        </row>
        <row r="50">
          <cell r="G50">
            <v>197771.7</v>
          </cell>
        </row>
        <row r="51">
          <cell r="G51">
            <v>44270.400000000001</v>
          </cell>
        </row>
        <row r="52">
          <cell r="G52">
            <v>180317.28</v>
          </cell>
        </row>
        <row r="53">
          <cell r="G53">
            <v>1142148</v>
          </cell>
        </row>
        <row r="54">
          <cell r="G54">
            <v>77588.539999999994</v>
          </cell>
        </row>
        <row r="55">
          <cell r="G55">
            <v>28437.620000000003</v>
          </cell>
        </row>
        <row r="56">
          <cell r="G56">
            <v>19834.900000000001</v>
          </cell>
        </row>
        <row r="57">
          <cell r="G57">
            <v>39669.800000000003</v>
          </cell>
        </row>
        <row r="75">
          <cell r="B75" t="str">
            <v>shperndares dheu   cop</v>
          </cell>
          <cell r="F75">
            <v>67039</v>
          </cell>
          <cell r="G75">
            <v>67039</v>
          </cell>
        </row>
      </sheetData>
      <sheetData sheetId="15">
        <row r="10">
          <cell r="C10">
            <v>-3110267.7642999738</v>
          </cell>
        </row>
      </sheetData>
      <sheetData sheetId="16">
        <row r="53">
          <cell r="B53" t="str">
            <v>05.09.09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0">
          <cell r="K70">
            <v>20342.969999999987</v>
          </cell>
        </row>
      </sheetData>
      <sheetData sheetId="32">
        <row r="14">
          <cell r="E14">
            <v>999485.02200599993</v>
          </cell>
        </row>
      </sheetData>
      <sheetData sheetId="33">
        <row r="2">
          <cell r="A2" t="str">
            <v>turizmi plazh 2003</v>
          </cell>
        </row>
      </sheetData>
      <sheetData sheetId="34">
        <row r="22">
          <cell r="E22">
            <v>16422274.124999998</v>
          </cell>
        </row>
      </sheetData>
      <sheetData sheetId="35">
        <row r="53">
          <cell r="D53" t="str">
            <v>drini a</v>
          </cell>
        </row>
      </sheetData>
      <sheetData sheetId="36">
        <row r="11">
          <cell r="D11">
            <v>151510.5</v>
          </cell>
        </row>
      </sheetData>
      <sheetData sheetId="37">
        <row r="53">
          <cell r="D53" t="str">
            <v>ambasada spanjolle</v>
          </cell>
        </row>
      </sheetData>
      <sheetData sheetId="38">
        <row r="26">
          <cell r="B26" t="str">
            <v>20.05.09</v>
          </cell>
          <cell r="C26" t="str">
            <v>la prealpina</v>
          </cell>
          <cell r="E26">
            <v>13950</v>
          </cell>
        </row>
        <row r="41">
          <cell r="B41" t="str">
            <v>09.07.09</v>
          </cell>
          <cell r="D41" t="str">
            <v>pompa uji</v>
          </cell>
          <cell r="E41">
            <v>65000</v>
          </cell>
        </row>
        <row r="49">
          <cell r="B49" t="str">
            <v>31.08.09</v>
          </cell>
          <cell r="D49" t="str">
            <v>ford ronger</v>
          </cell>
          <cell r="E49">
            <v>2426783.4</v>
          </cell>
        </row>
        <row r="50">
          <cell r="B50" t="str">
            <v>31.08.09</v>
          </cell>
          <cell r="D50" t="str">
            <v>ford tranzit</v>
          </cell>
          <cell r="E50">
            <v>2592245.9</v>
          </cell>
        </row>
        <row r="58">
          <cell r="B58" t="str">
            <v>15.09.09</v>
          </cell>
          <cell r="C58" t="str">
            <v>la prealpina</v>
          </cell>
          <cell r="E58">
            <v>22692</v>
          </cell>
        </row>
        <row r="91">
          <cell r="C91" t="str">
            <v>eurosistemalbania</v>
          </cell>
          <cell r="E91">
            <v>183400</v>
          </cell>
        </row>
        <row r="98">
          <cell r="B98">
            <v>0.46607638888888886</v>
          </cell>
          <cell r="C98" t="str">
            <v>iva elektrika</v>
          </cell>
          <cell r="E98">
            <v>49450</v>
          </cell>
        </row>
        <row r="99">
          <cell r="F99">
            <v>6000</v>
          </cell>
        </row>
        <row r="103">
          <cell r="C103" t="str">
            <v>iva elektrika</v>
          </cell>
          <cell r="E103">
            <v>9200</v>
          </cell>
        </row>
        <row r="121">
          <cell r="B121" t="str">
            <v>21.12.09</v>
          </cell>
          <cell r="E121">
            <v>37367</v>
          </cell>
        </row>
        <row r="125">
          <cell r="B125" t="str">
            <v>30.12.09</v>
          </cell>
          <cell r="E125">
            <v>270600</v>
          </cell>
        </row>
        <row r="126">
          <cell r="C126" t="str">
            <v>praktiker</v>
          </cell>
        </row>
        <row r="177">
          <cell r="C177" t="str">
            <v>univers reklama    tabele</v>
          </cell>
        </row>
        <row r="184">
          <cell r="C184" t="str">
            <v xml:space="preserve">kmpjutri turit </v>
          </cell>
          <cell r="D184">
            <v>41667</v>
          </cell>
        </row>
        <row r="186">
          <cell r="D186">
            <v>57833.33</v>
          </cell>
        </row>
      </sheetData>
      <sheetData sheetId="39"/>
      <sheetData sheetId="40">
        <row r="11">
          <cell r="D11">
            <v>151510.5</v>
          </cell>
        </row>
      </sheetData>
      <sheetData sheetId="41">
        <row r="7">
          <cell r="F7">
            <v>1094927</v>
          </cell>
        </row>
      </sheetData>
      <sheetData sheetId="42"/>
      <sheetData sheetId="43">
        <row r="7">
          <cell r="F7">
            <v>1094927</v>
          </cell>
        </row>
      </sheetData>
      <sheetData sheetId="44">
        <row r="8">
          <cell r="E8">
            <v>1950000</v>
          </cell>
        </row>
      </sheetData>
      <sheetData sheetId="45">
        <row r="7">
          <cell r="C7">
            <v>714240</v>
          </cell>
        </row>
      </sheetData>
      <sheetData sheetId="46">
        <row r="2">
          <cell r="A2" t="str">
            <v>turizmi plazh 2003</v>
          </cell>
        </row>
      </sheetData>
      <sheetData sheetId="47">
        <row r="8">
          <cell r="E8">
            <v>1950000</v>
          </cell>
        </row>
      </sheetData>
      <sheetData sheetId="48">
        <row r="7">
          <cell r="C7">
            <v>714240</v>
          </cell>
        </row>
      </sheetData>
      <sheetData sheetId="49"/>
      <sheetData sheetId="50"/>
      <sheetData sheetId="51">
        <row r="26">
          <cell r="S26">
            <v>1792387.85</v>
          </cell>
        </row>
      </sheetData>
      <sheetData sheetId="52"/>
      <sheetData sheetId="53"/>
      <sheetData sheetId="54">
        <row r="22">
          <cell r="E22">
            <v>16422274.124999998</v>
          </cell>
        </row>
      </sheetData>
      <sheetData sheetId="55"/>
      <sheetData sheetId="56">
        <row r="21">
          <cell r="D21">
            <v>182031.6</v>
          </cell>
        </row>
      </sheetData>
      <sheetData sheetId="57">
        <row r="26">
          <cell r="S26">
            <v>1792387.85</v>
          </cell>
        </row>
      </sheetData>
      <sheetData sheetId="58"/>
      <sheetData sheetId="59">
        <row r="78">
          <cell r="C78">
            <v>230097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odafon "/>
      <sheetName val="Sheet4"/>
      <sheetName val="Sheet5"/>
      <sheetName val="klient "/>
      <sheetName val="djeta reps"/>
      <sheetName val="f.m.ind"/>
      <sheetName val="pas."/>
      <sheetName val="a-sh.nat"/>
      <sheetName val="akt"/>
      <sheetName val="bilanci"/>
      <sheetName val="klient 10"/>
      <sheetName val="shitje 10"/>
      <sheetName val="furnt"/>
      <sheetName val="a-sh.fun"/>
      <sheetName val="618"/>
      <sheetName val="f.m.dir."/>
      <sheetName val="nd,kap kos"/>
      <sheetName val="llog.370"/>
      <sheetName val="blerjet 2010"/>
      <sheetName val="P2"/>
      <sheetName val="k.2010"/>
      <sheetName val="661"/>
      <sheetName val="b.€ intesa"/>
      <sheetName val="lb.bl 10"/>
      <sheetName val="638"/>
      <sheetName val="b.lek.intesa"/>
      <sheetName val="AAM2010"/>
      <sheetName val="amort."/>
      <sheetName val="bl.vend"/>
      <sheetName val="PI"/>
      <sheetName val="Sheet1"/>
      <sheetName val="imp.10"/>
      <sheetName val="inv mj.k 2009"/>
      <sheetName val="nd.kap.pakons"/>
      <sheetName val="sig-027.1"/>
      <sheetName val="sig-025"/>
      <sheetName val="sig alberto"/>
      <sheetName val="bordero"/>
      <sheetName val="k. 2008"/>
      <sheetName val="KASA"/>
      <sheetName val="p.arke"/>
      <sheetName val="bkt.lek"/>
      <sheetName val="t.fitimi"/>
      <sheetName val="furnitore"/>
      <sheetName val="bkt €"/>
      <sheetName val="tvsh"/>
      <sheetName val="svilupo€"/>
      <sheetName val="lizing 10"/>
      <sheetName val="rogat"/>
      <sheetName val="b.rajff.l"/>
      <sheetName val="rajf .b.€"/>
      <sheetName val="mj.k.lizing"/>
      <sheetName val="kredia"/>
      <sheetName val="k.2009"/>
      <sheetName val="B&gt;ProcLEK"/>
      <sheetName val="b.€.rajf"/>
      <sheetName val="b.p.cred.lek"/>
      <sheetName val="b.svilupo.lek"/>
      <sheetName val="b.tirana.lek"/>
      <sheetName val="permb bankave"/>
      <sheetName val="btirana€"/>
      <sheetName val="09lizing"/>
      <sheetName val="lizing 09"/>
      <sheetName val="inv.mjk"/>
      <sheetName val="lizing 08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3406779.7725999802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8">
          <cell r="C148" t="str">
            <v>26.06.2010</v>
          </cell>
        </row>
        <row r="232">
          <cell r="C232" t="str">
            <v>12.02.2010</v>
          </cell>
        </row>
        <row r="327">
          <cell r="E327">
            <v>34050</v>
          </cell>
          <cell r="H327" t="str">
            <v>kasa</v>
          </cell>
        </row>
        <row r="329">
          <cell r="D329" t="str">
            <v>kompjuter turi</v>
          </cell>
          <cell r="E329">
            <v>154210</v>
          </cell>
        </row>
        <row r="330">
          <cell r="E330">
            <v>295783</v>
          </cell>
          <cell r="H330" t="str">
            <v>sistemi  kamer vezhgimi</v>
          </cell>
        </row>
        <row r="341">
          <cell r="H341" t="str">
            <v>kompjuter +……..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1">
          <cell r="E101">
            <v>24025</v>
          </cell>
        </row>
        <row r="364">
          <cell r="B364" t="str">
            <v>11.12.10</v>
          </cell>
          <cell r="D364" t="str">
            <v>stufa alogenia solaria</v>
          </cell>
          <cell r="E364">
            <v>6733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14">
          <cell r="J214">
            <v>4753687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14">
          <cell r="E114">
            <v>1812470.0432000004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36">
          <cell r="D136">
            <v>34297.166666666664</v>
          </cell>
        </row>
      </sheetData>
      <sheetData sheetId="62">
        <row r="4">
          <cell r="B4">
            <v>9801.4599999999991</v>
          </cell>
        </row>
      </sheetData>
      <sheetData sheetId="63"/>
      <sheetData sheetId="64"/>
      <sheetData sheetId="65">
        <row r="12">
          <cell r="F12">
            <v>8164.05</v>
          </cell>
        </row>
      </sheetData>
      <sheetData sheetId="66">
        <row r="21">
          <cell r="F21">
            <v>5173.37</v>
          </cell>
        </row>
      </sheetData>
      <sheetData sheetId="67">
        <row r="18">
          <cell r="F18">
            <v>1506.96</v>
          </cell>
        </row>
      </sheetData>
      <sheetData sheetId="68">
        <row r="27">
          <cell r="F27">
            <v>8129.5</v>
          </cell>
        </row>
      </sheetData>
      <sheetData sheetId="69">
        <row r="33">
          <cell r="F33">
            <v>18987.73</v>
          </cell>
        </row>
      </sheetData>
      <sheetData sheetId="70">
        <row r="33">
          <cell r="F33">
            <v>1593.68</v>
          </cell>
        </row>
      </sheetData>
      <sheetData sheetId="71">
        <row r="34">
          <cell r="F34">
            <v>2656.23</v>
          </cell>
        </row>
      </sheetData>
      <sheetData sheetId="72">
        <row r="33">
          <cell r="F33">
            <v>8859.93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arden Line 2010"/>
      <sheetName val="P.A"/>
      <sheetName val="B.GJ."/>
      <sheetName val="Rr.P"/>
      <sheetName val="Q"/>
      <sheetName val="Ek."/>
    </sheetNames>
    <sheetDataSet>
      <sheetData sheetId="0" refreshError="1">
        <row r="27">
          <cell r="H27">
            <v>3534194.3600000003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opLeftCell="A25" workbookViewId="0">
      <selection activeCell="H34" sqref="H34"/>
    </sheetView>
  </sheetViews>
  <sheetFormatPr defaultRowHeight="12.75"/>
  <cols>
    <col min="1" max="1" width="5.140625" style="39" customWidth="1"/>
    <col min="2" max="2" width="49.7109375" style="39" customWidth="1"/>
    <col min="3" max="3" width="12.5703125" style="39" customWidth="1"/>
    <col min="4" max="4" width="14.85546875" style="39" customWidth="1"/>
    <col min="5" max="5" width="16.42578125" style="39" customWidth="1"/>
    <col min="6" max="6" width="9.140625" style="39"/>
    <col min="7" max="7" width="10.42578125" style="39" bestFit="1" customWidth="1"/>
    <col min="8" max="256" width="9.140625" style="39"/>
    <col min="257" max="257" width="5.140625" style="39" customWidth="1"/>
    <col min="258" max="258" width="49.7109375" style="39" customWidth="1"/>
    <col min="259" max="259" width="12.5703125" style="39" customWidth="1"/>
    <col min="260" max="260" width="14.85546875" style="39" customWidth="1"/>
    <col min="261" max="261" width="16.42578125" style="39" customWidth="1"/>
    <col min="262" max="262" width="9.140625" style="39"/>
    <col min="263" max="263" width="10.42578125" style="39" bestFit="1" customWidth="1"/>
    <col min="264" max="512" width="9.140625" style="39"/>
    <col min="513" max="513" width="5.140625" style="39" customWidth="1"/>
    <col min="514" max="514" width="49.7109375" style="39" customWidth="1"/>
    <col min="515" max="515" width="12.5703125" style="39" customWidth="1"/>
    <col min="516" max="516" width="14.85546875" style="39" customWidth="1"/>
    <col min="517" max="517" width="16.42578125" style="39" customWidth="1"/>
    <col min="518" max="518" width="9.140625" style="39"/>
    <col min="519" max="519" width="10.42578125" style="39" bestFit="1" customWidth="1"/>
    <col min="520" max="768" width="9.140625" style="39"/>
    <col min="769" max="769" width="5.140625" style="39" customWidth="1"/>
    <col min="770" max="770" width="49.7109375" style="39" customWidth="1"/>
    <col min="771" max="771" width="12.5703125" style="39" customWidth="1"/>
    <col min="772" max="772" width="14.85546875" style="39" customWidth="1"/>
    <col min="773" max="773" width="16.42578125" style="39" customWidth="1"/>
    <col min="774" max="774" width="9.140625" style="39"/>
    <col min="775" max="775" width="10.42578125" style="39" bestFit="1" customWidth="1"/>
    <col min="776" max="1024" width="9.140625" style="39"/>
    <col min="1025" max="1025" width="5.140625" style="39" customWidth="1"/>
    <col min="1026" max="1026" width="49.7109375" style="39" customWidth="1"/>
    <col min="1027" max="1027" width="12.5703125" style="39" customWidth="1"/>
    <col min="1028" max="1028" width="14.85546875" style="39" customWidth="1"/>
    <col min="1029" max="1029" width="16.42578125" style="39" customWidth="1"/>
    <col min="1030" max="1030" width="9.140625" style="39"/>
    <col min="1031" max="1031" width="10.42578125" style="39" bestFit="1" customWidth="1"/>
    <col min="1032" max="1280" width="9.140625" style="39"/>
    <col min="1281" max="1281" width="5.140625" style="39" customWidth="1"/>
    <col min="1282" max="1282" width="49.7109375" style="39" customWidth="1"/>
    <col min="1283" max="1283" width="12.5703125" style="39" customWidth="1"/>
    <col min="1284" max="1284" width="14.85546875" style="39" customWidth="1"/>
    <col min="1285" max="1285" width="16.42578125" style="39" customWidth="1"/>
    <col min="1286" max="1286" width="9.140625" style="39"/>
    <col min="1287" max="1287" width="10.42578125" style="39" bestFit="1" customWidth="1"/>
    <col min="1288" max="1536" width="9.140625" style="39"/>
    <col min="1537" max="1537" width="5.140625" style="39" customWidth="1"/>
    <col min="1538" max="1538" width="49.7109375" style="39" customWidth="1"/>
    <col min="1539" max="1539" width="12.5703125" style="39" customWidth="1"/>
    <col min="1540" max="1540" width="14.85546875" style="39" customWidth="1"/>
    <col min="1541" max="1541" width="16.42578125" style="39" customWidth="1"/>
    <col min="1542" max="1542" width="9.140625" style="39"/>
    <col min="1543" max="1543" width="10.42578125" style="39" bestFit="1" customWidth="1"/>
    <col min="1544" max="1792" width="9.140625" style="39"/>
    <col min="1793" max="1793" width="5.140625" style="39" customWidth="1"/>
    <col min="1794" max="1794" width="49.7109375" style="39" customWidth="1"/>
    <col min="1795" max="1795" width="12.5703125" style="39" customWidth="1"/>
    <col min="1796" max="1796" width="14.85546875" style="39" customWidth="1"/>
    <col min="1797" max="1797" width="16.42578125" style="39" customWidth="1"/>
    <col min="1798" max="1798" width="9.140625" style="39"/>
    <col min="1799" max="1799" width="10.42578125" style="39" bestFit="1" customWidth="1"/>
    <col min="1800" max="2048" width="9.140625" style="39"/>
    <col min="2049" max="2049" width="5.140625" style="39" customWidth="1"/>
    <col min="2050" max="2050" width="49.7109375" style="39" customWidth="1"/>
    <col min="2051" max="2051" width="12.5703125" style="39" customWidth="1"/>
    <col min="2052" max="2052" width="14.85546875" style="39" customWidth="1"/>
    <col min="2053" max="2053" width="16.42578125" style="39" customWidth="1"/>
    <col min="2054" max="2054" width="9.140625" style="39"/>
    <col min="2055" max="2055" width="10.42578125" style="39" bestFit="1" customWidth="1"/>
    <col min="2056" max="2304" width="9.140625" style="39"/>
    <col min="2305" max="2305" width="5.140625" style="39" customWidth="1"/>
    <col min="2306" max="2306" width="49.7109375" style="39" customWidth="1"/>
    <col min="2307" max="2307" width="12.5703125" style="39" customWidth="1"/>
    <col min="2308" max="2308" width="14.85546875" style="39" customWidth="1"/>
    <col min="2309" max="2309" width="16.42578125" style="39" customWidth="1"/>
    <col min="2310" max="2310" width="9.140625" style="39"/>
    <col min="2311" max="2311" width="10.42578125" style="39" bestFit="1" customWidth="1"/>
    <col min="2312" max="2560" width="9.140625" style="39"/>
    <col min="2561" max="2561" width="5.140625" style="39" customWidth="1"/>
    <col min="2562" max="2562" width="49.7109375" style="39" customWidth="1"/>
    <col min="2563" max="2563" width="12.5703125" style="39" customWidth="1"/>
    <col min="2564" max="2564" width="14.85546875" style="39" customWidth="1"/>
    <col min="2565" max="2565" width="16.42578125" style="39" customWidth="1"/>
    <col min="2566" max="2566" width="9.140625" style="39"/>
    <col min="2567" max="2567" width="10.42578125" style="39" bestFit="1" customWidth="1"/>
    <col min="2568" max="2816" width="9.140625" style="39"/>
    <col min="2817" max="2817" width="5.140625" style="39" customWidth="1"/>
    <col min="2818" max="2818" width="49.7109375" style="39" customWidth="1"/>
    <col min="2819" max="2819" width="12.5703125" style="39" customWidth="1"/>
    <col min="2820" max="2820" width="14.85546875" style="39" customWidth="1"/>
    <col min="2821" max="2821" width="16.42578125" style="39" customWidth="1"/>
    <col min="2822" max="2822" width="9.140625" style="39"/>
    <col min="2823" max="2823" width="10.42578125" style="39" bestFit="1" customWidth="1"/>
    <col min="2824" max="3072" width="9.140625" style="39"/>
    <col min="3073" max="3073" width="5.140625" style="39" customWidth="1"/>
    <col min="3074" max="3074" width="49.7109375" style="39" customWidth="1"/>
    <col min="3075" max="3075" width="12.5703125" style="39" customWidth="1"/>
    <col min="3076" max="3076" width="14.85546875" style="39" customWidth="1"/>
    <col min="3077" max="3077" width="16.42578125" style="39" customWidth="1"/>
    <col min="3078" max="3078" width="9.140625" style="39"/>
    <col min="3079" max="3079" width="10.42578125" style="39" bestFit="1" customWidth="1"/>
    <col min="3080" max="3328" width="9.140625" style="39"/>
    <col min="3329" max="3329" width="5.140625" style="39" customWidth="1"/>
    <col min="3330" max="3330" width="49.7109375" style="39" customWidth="1"/>
    <col min="3331" max="3331" width="12.5703125" style="39" customWidth="1"/>
    <col min="3332" max="3332" width="14.85546875" style="39" customWidth="1"/>
    <col min="3333" max="3333" width="16.42578125" style="39" customWidth="1"/>
    <col min="3334" max="3334" width="9.140625" style="39"/>
    <col min="3335" max="3335" width="10.42578125" style="39" bestFit="1" customWidth="1"/>
    <col min="3336" max="3584" width="9.140625" style="39"/>
    <col min="3585" max="3585" width="5.140625" style="39" customWidth="1"/>
    <col min="3586" max="3586" width="49.7109375" style="39" customWidth="1"/>
    <col min="3587" max="3587" width="12.5703125" style="39" customWidth="1"/>
    <col min="3588" max="3588" width="14.85546875" style="39" customWidth="1"/>
    <col min="3589" max="3589" width="16.42578125" style="39" customWidth="1"/>
    <col min="3590" max="3590" width="9.140625" style="39"/>
    <col min="3591" max="3591" width="10.42578125" style="39" bestFit="1" customWidth="1"/>
    <col min="3592" max="3840" width="9.140625" style="39"/>
    <col min="3841" max="3841" width="5.140625" style="39" customWidth="1"/>
    <col min="3842" max="3842" width="49.7109375" style="39" customWidth="1"/>
    <col min="3843" max="3843" width="12.5703125" style="39" customWidth="1"/>
    <col min="3844" max="3844" width="14.85546875" style="39" customWidth="1"/>
    <col min="3845" max="3845" width="16.42578125" style="39" customWidth="1"/>
    <col min="3846" max="3846" width="9.140625" style="39"/>
    <col min="3847" max="3847" width="10.42578125" style="39" bestFit="1" customWidth="1"/>
    <col min="3848" max="4096" width="9.140625" style="39"/>
    <col min="4097" max="4097" width="5.140625" style="39" customWidth="1"/>
    <col min="4098" max="4098" width="49.7109375" style="39" customWidth="1"/>
    <col min="4099" max="4099" width="12.5703125" style="39" customWidth="1"/>
    <col min="4100" max="4100" width="14.85546875" style="39" customWidth="1"/>
    <col min="4101" max="4101" width="16.42578125" style="39" customWidth="1"/>
    <col min="4102" max="4102" width="9.140625" style="39"/>
    <col min="4103" max="4103" width="10.42578125" style="39" bestFit="1" customWidth="1"/>
    <col min="4104" max="4352" width="9.140625" style="39"/>
    <col min="4353" max="4353" width="5.140625" style="39" customWidth="1"/>
    <col min="4354" max="4354" width="49.7109375" style="39" customWidth="1"/>
    <col min="4355" max="4355" width="12.5703125" style="39" customWidth="1"/>
    <col min="4356" max="4356" width="14.85546875" style="39" customWidth="1"/>
    <col min="4357" max="4357" width="16.42578125" style="39" customWidth="1"/>
    <col min="4358" max="4358" width="9.140625" style="39"/>
    <col min="4359" max="4359" width="10.42578125" style="39" bestFit="1" customWidth="1"/>
    <col min="4360" max="4608" width="9.140625" style="39"/>
    <col min="4609" max="4609" width="5.140625" style="39" customWidth="1"/>
    <col min="4610" max="4610" width="49.7109375" style="39" customWidth="1"/>
    <col min="4611" max="4611" width="12.5703125" style="39" customWidth="1"/>
    <col min="4612" max="4612" width="14.85546875" style="39" customWidth="1"/>
    <col min="4613" max="4613" width="16.42578125" style="39" customWidth="1"/>
    <col min="4614" max="4614" width="9.140625" style="39"/>
    <col min="4615" max="4615" width="10.42578125" style="39" bestFit="1" customWidth="1"/>
    <col min="4616" max="4864" width="9.140625" style="39"/>
    <col min="4865" max="4865" width="5.140625" style="39" customWidth="1"/>
    <col min="4866" max="4866" width="49.7109375" style="39" customWidth="1"/>
    <col min="4867" max="4867" width="12.5703125" style="39" customWidth="1"/>
    <col min="4868" max="4868" width="14.85546875" style="39" customWidth="1"/>
    <col min="4869" max="4869" width="16.42578125" style="39" customWidth="1"/>
    <col min="4870" max="4870" width="9.140625" style="39"/>
    <col min="4871" max="4871" width="10.42578125" style="39" bestFit="1" customWidth="1"/>
    <col min="4872" max="5120" width="9.140625" style="39"/>
    <col min="5121" max="5121" width="5.140625" style="39" customWidth="1"/>
    <col min="5122" max="5122" width="49.7109375" style="39" customWidth="1"/>
    <col min="5123" max="5123" width="12.5703125" style="39" customWidth="1"/>
    <col min="5124" max="5124" width="14.85546875" style="39" customWidth="1"/>
    <col min="5125" max="5125" width="16.42578125" style="39" customWidth="1"/>
    <col min="5126" max="5126" width="9.140625" style="39"/>
    <col min="5127" max="5127" width="10.42578125" style="39" bestFit="1" customWidth="1"/>
    <col min="5128" max="5376" width="9.140625" style="39"/>
    <col min="5377" max="5377" width="5.140625" style="39" customWidth="1"/>
    <col min="5378" max="5378" width="49.7109375" style="39" customWidth="1"/>
    <col min="5379" max="5379" width="12.5703125" style="39" customWidth="1"/>
    <col min="5380" max="5380" width="14.85546875" style="39" customWidth="1"/>
    <col min="5381" max="5381" width="16.42578125" style="39" customWidth="1"/>
    <col min="5382" max="5382" width="9.140625" style="39"/>
    <col min="5383" max="5383" width="10.42578125" style="39" bestFit="1" customWidth="1"/>
    <col min="5384" max="5632" width="9.140625" style="39"/>
    <col min="5633" max="5633" width="5.140625" style="39" customWidth="1"/>
    <col min="5634" max="5634" width="49.7109375" style="39" customWidth="1"/>
    <col min="5635" max="5635" width="12.5703125" style="39" customWidth="1"/>
    <col min="5636" max="5636" width="14.85546875" style="39" customWidth="1"/>
    <col min="5637" max="5637" width="16.42578125" style="39" customWidth="1"/>
    <col min="5638" max="5638" width="9.140625" style="39"/>
    <col min="5639" max="5639" width="10.42578125" style="39" bestFit="1" customWidth="1"/>
    <col min="5640" max="5888" width="9.140625" style="39"/>
    <col min="5889" max="5889" width="5.140625" style="39" customWidth="1"/>
    <col min="5890" max="5890" width="49.7109375" style="39" customWidth="1"/>
    <col min="5891" max="5891" width="12.5703125" style="39" customWidth="1"/>
    <col min="5892" max="5892" width="14.85546875" style="39" customWidth="1"/>
    <col min="5893" max="5893" width="16.42578125" style="39" customWidth="1"/>
    <col min="5894" max="5894" width="9.140625" style="39"/>
    <col min="5895" max="5895" width="10.42578125" style="39" bestFit="1" customWidth="1"/>
    <col min="5896" max="6144" width="9.140625" style="39"/>
    <col min="6145" max="6145" width="5.140625" style="39" customWidth="1"/>
    <col min="6146" max="6146" width="49.7109375" style="39" customWidth="1"/>
    <col min="6147" max="6147" width="12.5703125" style="39" customWidth="1"/>
    <col min="6148" max="6148" width="14.85546875" style="39" customWidth="1"/>
    <col min="6149" max="6149" width="16.42578125" style="39" customWidth="1"/>
    <col min="6150" max="6150" width="9.140625" style="39"/>
    <col min="6151" max="6151" width="10.42578125" style="39" bestFit="1" customWidth="1"/>
    <col min="6152" max="6400" width="9.140625" style="39"/>
    <col min="6401" max="6401" width="5.140625" style="39" customWidth="1"/>
    <col min="6402" max="6402" width="49.7109375" style="39" customWidth="1"/>
    <col min="6403" max="6403" width="12.5703125" style="39" customWidth="1"/>
    <col min="6404" max="6404" width="14.85546875" style="39" customWidth="1"/>
    <col min="6405" max="6405" width="16.42578125" style="39" customWidth="1"/>
    <col min="6406" max="6406" width="9.140625" style="39"/>
    <col min="6407" max="6407" width="10.42578125" style="39" bestFit="1" customWidth="1"/>
    <col min="6408" max="6656" width="9.140625" style="39"/>
    <col min="6657" max="6657" width="5.140625" style="39" customWidth="1"/>
    <col min="6658" max="6658" width="49.7109375" style="39" customWidth="1"/>
    <col min="6659" max="6659" width="12.5703125" style="39" customWidth="1"/>
    <col min="6660" max="6660" width="14.85546875" style="39" customWidth="1"/>
    <col min="6661" max="6661" width="16.42578125" style="39" customWidth="1"/>
    <col min="6662" max="6662" width="9.140625" style="39"/>
    <col min="6663" max="6663" width="10.42578125" style="39" bestFit="1" customWidth="1"/>
    <col min="6664" max="6912" width="9.140625" style="39"/>
    <col min="6913" max="6913" width="5.140625" style="39" customWidth="1"/>
    <col min="6914" max="6914" width="49.7109375" style="39" customWidth="1"/>
    <col min="6915" max="6915" width="12.5703125" style="39" customWidth="1"/>
    <col min="6916" max="6916" width="14.85546875" style="39" customWidth="1"/>
    <col min="6917" max="6917" width="16.42578125" style="39" customWidth="1"/>
    <col min="6918" max="6918" width="9.140625" style="39"/>
    <col min="6919" max="6919" width="10.42578125" style="39" bestFit="1" customWidth="1"/>
    <col min="6920" max="7168" width="9.140625" style="39"/>
    <col min="7169" max="7169" width="5.140625" style="39" customWidth="1"/>
    <col min="7170" max="7170" width="49.7109375" style="39" customWidth="1"/>
    <col min="7171" max="7171" width="12.5703125" style="39" customWidth="1"/>
    <col min="7172" max="7172" width="14.85546875" style="39" customWidth="1"/>
    <col min="7173" max="7173" width="16.42578125" style="39" customWidth="1"/>
    <col min="7174" max="7174" width="9.140625" style="39"/>
    <col min="7175" max="7175" width="10.42578125" style="39" bestFit="1" customWidth="1"/>
    <col min="7176" max="7424" width="9.140625" style="39"/>
    <col min="7425" max="7425" width="5.140625" style="39" customWidth="1"/>
    <col min="7426" max="7426" width="49.7109375" style="39" customWidth="1"/>
    <col min="7427" max="7427" width="12.5703125" style="39" customWidth="1"/>
    <col min="7428" max="7428" width="14.85546875" style="39" customWidth="1"/>
    <col min="7429" max="7429" width="16.42578125" style="39" customWidth="1"/>
    <col min="7430" max="7430" width="9.140625" style="39"/>
    <col min="7431" max="7431" width="10.42578125" style="39" bestFit="1" customWidth="1"/>
    <col min="7432" max="7680" width="9.140625" style="39"/>
    <col min="7681" max="7681" width="5.140625" style="39" customWidth="1"/>
    <col min="7682" max="7682" width="49.7109375" style="39" customWidth="1"/>
    <col min="7683" max="7683" width="12.5703125" style="39" customWidth="1"/>
    <col min="7684" max="7684" width="14.85546875" style="39" customWidth="1"/>
    <col min="7685" max="7685" width="16.42578125" style="39" customWidth="1"/>
    <col min="7686" max="7686" width="9.140625" style="39"/>
    <col min="7687" max="7687" width="10.42578125" style="39" bestFit="1" customWidth="1"/>
    <col min="7688" max="7936" width="9.140625" style="39"/>
    <col min="7937" max="7937" width="5.140625" style="39" customWidth="1"/>
    <col min="7938" max="7938" width="49.7109375" style="39" customWidth="1"/>
    <col min="7939" max="7939" width="12.5703125" style="39" customWidth="1"/>
    <col min="7940" max="7940" width="14.85546875" style="39" customWidth="1"/>
    <col min="7941" max="7941" width="16.42578125" style="39" customWidth="1"/>
    <col min="7942" max="7942" width="9.140625" style="39"/>
    <col min="7943" max="7943" width="10.42578125" style="39" bestFit="1" customWidth="1"/>
    <col min="7944" max="8192" width="9.140625" style="39"/>
    <col min="8193" max="8193" width="5.140625" style="39" customWidth="1"/>
    <col min="8194" max="8194" width="49.7109375" style="39" customWidth="1"/>
    <col min="8195" max="8195" width="12.5703125" style="39" customWidth="1"/>
    <col min="8196" max="8196" width="14.85546875" style="39" customWidth="1"/>
    <col min="8197" max="8197" width="16.42578125" style="39" customWidth="1"/>
    <col min="8198" max="8198" width="9.140625" style="39"/>
    <col min="8199" max="8199" width="10.42578125" style="39" bestFit="1" customWidth="1"/>
    <col min="8200" max="8448" width="9.140625" style="39"/>
    <col min="8449" max="8449" width="5.140625" style="39" customWidth="1"/>
    <col min="8450" max="8450" width="49.7109375" style="39" customWidth="1"/>
    <col min="8451" max="8451" width="12.5703125" style="39" customWidth="1"/>
    <col min="8452" max="8452" width="14.85546875" style="39" customWidth="1"/>
    <col min="8453" max="8453" width="16.42578125" style="39" customWidth="1"/>
    <col min="8454" max="8454" width="9.140625" style="39"/>
    <col min="8455" max="8455" width="10.42578125" style="39" bestFit="1" customWidth="1"/>
    <col min="8456" max="8704" width="9.140625" style="39"/>
    <col min="8705" max="8705" width="5.140625" style="39" customWidth="1"/>
    <col min="8706" max="8706" width="49.7109375" style="39" customWidth="1"/>
    <col min="8707" max="8707" width="12.5703125" style="39" customWidth="1"/>
    <col min="8708" max="8708" width="14.85546875" style="39" customWidth="1"/>
    <col min="8709" max="8709" width="16.42578125" style="39" customWidth="1"/>
    <col min="8710" max="8710" width="9.140625" style="39"/>
    <col min="8711" max="8711" width="10.42578125" style="39" bestFit="1" customWidth="1"/>
    <col min="8712" max="8960" width="9.140625" style="39"/>
    <col min="8961" max="8961" width="5.140625" style="39" customWidth="1"/>
    <col min="8962" max="8962" width="49.7109375" style="39" customWidth="1"/>
    <col min="8963" max="8963" width="12.5703125" style="39" customWidth="1"/>
    <col min="8964" max="8964" width="14.85546875" style="39" customWidth="1"/>
    <col min="8965" max="8965" width="16.42578125" style="39" customWidth="1"/>
    <col min="8966" max="8966" width="9.140625" style="39"/>
    <col min="8967" max="8967" width="10.42578125" style="39" bestFit="1" customWidth="1"/>
    <col min="8968" max="9216" width="9.140625" style="39"/>
    <col min="9217" max="9217" width="5.140625" style="39" customWidth="1"/>
    <col min="9218" max="9218" width="49.7109375" style="39" customWidth="1"/>
    <col min="9219" max="9219" width="12.5703125" style="39" customWidth="1"/>
    <col min="9220" max="9220" width="14.85546875" style="39" customWidth="1"/>
    <col min="9221" max="9221" width="16.42578125" style="39" customWidth="1"/>
    <col min="9222" max="9222" width="9.140625" style="39"/>
    <col min="9223" max="9223" width="10.42578125" style="39" bestFit="1" customWidth="1"/>
    <col min="9224" max="9472" width="9.140625" style="39"/>
    <col min="9473" max="9473" width="5.140625" style="39" customWidth="1"/>
    <col min="9474" max="9474" width="49.7109375" style="39" customWidth="1"/>
    <col min="9475" max="9475" width="12.5703125" style="39" customWidth="1"/>
    <col min="9476" max="9476" width="14.85546875" style="39" customWidth="1"/>
    <col min="9477" max="9477" width="16.42578125" style="39" customWidth="1"/>
    <col min="9478" max="9478" width="9.140625" style="39"/>
    <col min="9479" max="9479" width="10.42578125" style="39" bestFit="1" customWidth="1"/>
    <col min="9480" max="9728" width="9.140625" style="39"/>
    <col min="9729" max="9729" width="5.140625" style="39" customWidth="1"/>
    <col min="9730" max="9730" width="49.7109375" style="39" customWidth="1"/>
    <col min="9731" max="9731" width="12.5703125" style="39" customWidth="1"/>
    <col min="9732" max="9732" width="14.85546875" style="39" customWidth="1"/>
    <col min="9733" max="9733" width="16.42578125" style="39" customWidth="1"/>
    <col min="9734" max="9734" width="9.140625" style="39"/>
    <col min="9735" max="9735" width="10.42578125" style="39" bestFit="1" customWidth="1"/>
    <col min="9736" max="9984" width="9.140625" style="39"/>
    <col min="9985" max="9985" width="5.140625" style="39" customWidth="1"/>
    <col min="9986" max="9986" width="49.7109375" style="39" customWidth="1"/>
    <col min="9987" max="9987" width="12.5703125" style="39" customWidth="1"/>
    <col min="9988" max="9988" width="14.85546875" style="39" customWidth="1"/>
    <col min="9989" max="9989" width="16.42578125" style="39" customWidth="1"/>
    <col min="9990" max="9990" width="9.140625" style="39"/>
    <col min="9991" max="9991" width="10.42578125" style="39" bestFit="1" customWidth="1"/>
    <col min="9992" max="10240" width="9.140625" style="39"/>
    <col min="10241" max="10241" width="5.140625" style="39" customWidth="1"/>
    <col min="10242" max="10242" width="49.7109375" style="39" customWidth="1"/>
    <col min="10243" max="10243" width="12.5703125" style="39" customWidth="1"/>
    <col min="10244" max="10244" width="14.85546875" style="39" customWidth="1"/>
    <col min="10245" max="10245" width="16.42578125" style="39" customWidth="1"/>
    <col min="10246" max="10246" width="9.140625" style="39"/>
    <col min="10247" max="10247" width="10.42578125" style="39" bestFit="1" customWidth="1"/>
    <col min="10248" max="10496" width="9.140625" style="39"/>
    <col min="10497" max="10497" width="5.140625" style="39" customWidth="1"/>
    <col min="10498" max="10498" width="49.7109375" style="39" customWidth="1"/>
    <col min="10499" max="10499" width="12.5703125" style="39" customWidth="1"/>
    <col min="10500" max="10500" width="14.85546875" style="39" customWidth="1"/>
    <col min="10501" max="10501" width="16.42578125" style="39" customWidth="1"/>
    <col min="10502" max="10502" width="9.140625" style="39"/>
    <col min="10503" max="10503" width="10.42578125" style="39" bestFit="1" customWidth="1"/>
    <col min="10504" max="10752" width="9.140625" style="39"/>
    <col min="10753" max="10753" width="5.140625" style="39" customWidth="1"/>
    <col min="10754" max="10754" width="49.7109375" style="39" customWidth="1"/>
    <col min="10755" max="10755" width="12.5703125" style="39" customWidth="1"/>
    <col min="10756" max="10756" width="14.85546875" style="39" customWidth="1"/>
    <col min="10757" max="10757" width="16.42578125" style="39" customWidth="1"/>
    <col min="10758" max="10758" width="9.140625" style="39"/>
    <col min="10759" max="10759" width="10.42578125" style="39" bestFit="1" customWidth="1"/>
    <col min="10760" max="11008" width="9.140625" style="39"/>
    <col min="11009" max="11009" width="5.140625" style="39" customWidth="1"/>
    <col min="11010" max="11010" width="49.7109375" style="39" customWidth="1"/>
    <col min="11011" max="11011" width="12.5703125" style="39" customWidth="1"/>
    <col min="11012" max="11012" width="14.85546875" style="39" customWidth="1"/>
    <col min="11013" max="11013" width="16.42578125" style="39" customWidth="1"/>
    <col min="11014" max="11014" width="9.140625" style="39"/>
    <col min="11015" max="11015" width="10.42578125" style="39" bestFit="1" customWidth="1"/>
    <col min="11016" max="11264" width="9.140625" style="39"/>
    <col min="11265" max="11265" width="5.140625" style="39" customWidth="1"/>
    <col min="11266" max="11266" width="49.7109375" style="39" customWidth="1"/>
    <col min="11267" max="11267" width="12.5703125" style="39" customWidth="1"/>
    <col min="11268" max="11268" width="14.85546875" style="39" customWidth="1"/>
    <col min="11269" max="11269" width="16.42578125" style="39" customWidth="1"/>
    <col min="11270" max="11270" width="9.140625" style="39"/>
    <col min="11271" max="11271" width="10.42578125" style="39" bestFit="1" customWidth="1"/>
    <col min="11272" max="11520" width="9.140625" style="39"/>
    <col min="11521" max="11521" width="5.140625" style="39" customWidth="1"/>
    <col min="11522" max="11522" width="49.7109375" style="39" customWidth="1"/>
    <col min="11523" max="11523" width="12.5703125" style="39" customWidth="1"/>
    <col min="11524" max="11524" width="14.85546875" style="39" customWidth="1"/>
    <col min="11525" max="11525" width="16.42578125" style="39" customWidth="1"/>
    <col min="11526" max="11526" width="9.140625" style="39"/>
    <col min="11527" max="11527" width="10.42578125" style="39" bestFit="1" customWidth="1"/>
    <col min="11528" max="11776" width="9.140625" style="39"/>
    <col min="11777" max="11777" width="5.140625" style="39" customWidth="1"/>
    <col min="11778" max="11778" width="49.7109375" style="39" customWidth="1"/>
    <col min="11779" max="11779" width="12.5703125" style="39" customWidth="1"/>
    <col min="11780" max="11780" width="14.85546875" style="39" customWidth="1"/>
    <col min="11781" max="11781" width="16.42578125" style="39" customWidth="1"/>
    <col min="11782" max="11782" width="9.140625" style="39"/>
    <col min="11783" max="11783" width="10.42578125" style="39" bestFit="1" customWidth="1"/>
    <col min="11784" max="12032" width="9.140625" style="39"/>
    <col min="12033" max="12033" width="5.140625" style="39" customWidth="1"/>
    <col min="12034" max="12034" width="49.7109375" style="39" customWidth="1"/>
    <col min="12035" max="12035" width="12.5703125" style="39" customWidth="1"/>
    <col min="12036" max="12036" width="14.85546875" style="39" customWidth="1"/>
    <col min="12037" max="12037" width="16.42578125" style="39" customWidth="1"/>
    <col min="12038" max="12038" width="9.140625" style="39"/>
    <col min="12039" max="12039" width="10.42578125" style="39" bestFit="1" customWidth="1"/>
    <col min="12040" max="12288" width="9.140625" style="39"/>
    <col min="12289" max="12289" width="5.140625" style="39" customWidth="1"/>
    <col min="12290" max="12290" width="49.7109375" style="39" customWidth="1"/>
    <col min="12291" max="12291" width="12.5703125" style="39" customWidth="1"/>
    <col min="12292" max="12292" width="14.85546875" style="39" customWidth="1"/>
    <col min="12293" max="12293" width="16.42578125" style="39" customWidth="1"/>
    <col min="12294" max="12294" width="9.140625" style="39"/>
    <col min="12295" max="12295" width="10.42578125" style="39" bestFit="1" customWidth="1"/>
    <col min="12296" max="12544" width="9.140625" style="39"/>
    <col min="12545" max="12545" width="5.140625" style="39" customWidth="1"/>
    <col min="12546" max="12546" width="49.7109375" style="39" customWidth="1"/>
    <col min="12547" max="12547" width="12.5703125" style="39" customWidth="1"/>
    <col min="12548" max="12548" width="14.85546875" style="39" customWidth="1"/>
    <col min="12549" max="12549" width="16.42578125" style="39" customWidth="1"/>
    <col min="12550" max="12550" width="9.140625" style="39"/>
    <col min="12551" max="12551" width="10.42578125" style="39" bestFit="1" customWidth="1"/>
    <col min="12552" max="12800" width="9.140625" style="39"/>
    <col min="12801" max="12801" width="5.140625" style="39" customWidth="1"/>
    <col min="12802" max="12802" width="49.7109375" style="39" customWidth="1"/>
    <col min="12803" max="12803" width="12.5703125" style="39" customWidth="1"/>
    <col min="12804" max="12804" width="14.85546875" style="39" customWidth="1"/>
    <col min="12805" max="12805" width="16.42578125" style="39" customWidth="1"/>
    <col min="12806" max="12806" width="9.140625" style="39"/>
    <col min="12807" max="12807" width="10.42578125" style="39" bestFit="1" customWidth="1"/>
    <col min="12808" max="13056" width="9.140625" style="39"/>
    <col min="13057" max="13057" width="5.140625" style="39" customWidth="1"/>
    <col min="13058" max="13058" width="49.7109375" style="39" customWidth="1"/>
    <col min="13059" max="13059" width="12.5703125" style="39" customWidth="1"/>
    <col min="13060" max="13060" width="14.85546875" style="39" customWidth="1"/>
    <col min="13061" max="13061" width="16.42578125" style="39" customWidth="1"/>
    <col min="13062" max="13062" width="9.140625" style="39"/>
    <col min="13063" max="13063" width="10.42578125" style="39" bestFit="1" customWidth="1"/>
    <col min="13064" max="13312" width="9.140625" style="39"/>
    <col min="13313" max="13313" width="5.140625" style="39" customWidth="1"/>
    <col min="13314" max="13314" width="49.7109375" style="39" customWidth="1"/>
    <col min="13315" max="13315" width="12.5703125" style="39" customWidth="1"/>
    <col min="13316" max="13316" width="14.85546875" style="39" customWidth="1"/>
    <col min="13317" max="13317" width="16.42578125" style="39" customWidth="1"/>
    <col min="13318" max="13318" width="9.140625" style="39"/>
    <col min="13319" max="13319" width="10.42578125" style="39" bestFit="1" customWidth="1"/>
    <col min="13320" max="13568" width="9.140625" style="39"/>
    <col min="13569" max="13569" width="5.140625" style="39" customWidth="1"/>
    <col min="13570" max="13570" width="49.7109375" style="39" customWidth="1"/>
    <col min="13571" max="13571" width="12.5703125" style="39" customWidth="1"/>
    <col min="13572" max="13572" width="14.85546875" style="39" customWidth="1"/>
    <col min="13573" max="13573" width="16.42578125" style="39" customWidth="1"/>
    <col min="13574" max="13574" width="9.140625" style="39"/>
    <col min="13575" max="13575" width="10.42578125" style="39" bestFit="1" customWidth="1"/>
    <col min="13576" max="13824" width="9.140625" style="39"/>
    <col min="13825" max="13825" width="5.140625" style="39" customWidth="1"/>
    <col min="13826" max="13826" width="49.7109375" style="39" customWidth="1"/>
    <col min="13827" max="13827" width="12.5703125" style="39" customWidth="1"/>
    <col min="13828" max="13828" width="14.85546875" style="39" customWidth="1"/>
    <col min="13829" max="13829" width="16.42578125" style="39" customWidth="1"/>
    <col min="13830" max="13830" width="9.140625" style="39"/>
    <col min="13831" max="13831" width="10.42578125" style="39" bestFit="1" customWidth="1"/>
    <col min="13832" max="14080" width="9.140625" style="39"/>
    <col min="14081" max="14081" width="5.140625" style="39" customWidth="1"/>
    <col min="14082" max="14082" width="49.7109375" style="39" customWidth="1"/>
    <col min="14083" max="14083" width="12.5703125" style="39" customWidth="1"/>
    <col min="14084" max="14084" width="14.85546875" style="39" customWidth="1"/>
    <col min="14085" max="14085" width="16.42578125" style="39" customWidth="1"/>
    <col min="14086" max="14086" width="9.140625" style="39"/>
    <col min="14087" max="14087" width="10.42578125" style="39" bestFit="1" customWidth="1"/>
    <col min="14088" max="14336" width="9.140625" style="39"/>
    <col min="14337" max="14337" width="5.140625" style="39" customWidth="1"/>
    <col min="14338" max="14338" width="49.7109375" style="39" customWidth="1"/>
    <col min="14339" max="14339" width="12.5703125" style="39" customWidth="1"/>
    <col min="14340" max="14340" width="14.85546875" style="39" customWidth="1"/>
    <col min="14341" max="14341" width="16.42578125" style="39" customWidth="1"/>
    <col min="14342" max="14342" width="9.140625" style="39"/>
    <col min="14343" max="14343" width="10.42578125" style="39" bestFit="1" customWidth="1"/>
    <col min="14344" max="14592" width="9.140625" style="39"/>
    <col min="14593" max="14593" width="5.140625" style="39" customWidth="1"/>
    <col min="14594" max="14594" width="49.7109375" style="39" customWidth="1"/>
    <col min="14595" max="14595" width="12.5703125" style="39" customWidth="1"/>
    <col min="14596" max="14596" width="14.85546875" style="39" customWidth="1"/>
    <col min="14597" max="14597" width="16.42578125" style="39" customWidth="1"/>
    <col min="14598" max="14598" width="9.140625" style="39"/>
    <col min="14599" max="14599" width="10.42578125" style="39" bestFit="1" customWidth="1"/>
    <col min="14600" max="14848" width="9.140625" style="39"/>
    <col min="14849" max="14849" width="5.140625" style="39" customWidth="1"/>
    <col min="14850" max="14850" width="49.7109375" style="39" customWidth="1"/>
    <col min="14851" max="14851" width="12.5703125" style="39" customWidth="1"/>
    <col min="14852" max="14852" width="14.85546875" style="39" customWidth="1"/>
    <col min="14853" max="14853" width="16.42578125" style="39" customWidth="1"/>
    <col min="14854" max="14854" width="9.140625" style="39"/>
    <col min="14855" max="14855" width="10.42578125" style="39" bestFit="1" customWidth="1"/>
    <col min="14856" max="15104" width="9.140625" style="39"/>
    <col min="15105" max="15105" width="5.140625" style="39" customWidth="1"/>
    <col min="15106" max="15106" width="49.7109375" style="39" customWidth="1"/>
    <col min="15107" max="15107" width="12.5703125" style="39" customWidth="1"/>
    <col min="15108" max="15108" width="14.85546875" style="39" customWidth="1"/>
    <col min="15109" max="15109" width="16.42578125" style="39" customWidth="1"/>
    <col min="15110" max="15110" width="9.140625" style="39"/>
    <col min="15111" max="15111" width="10.42578125" style="39" bestFit="1" customWidth="1"/>
    <col min="15112" max="15360" width="9.140625" style="39"/>
    <col min="15361" max="15361" width="5.140625" style="39" customWidth="1"/>
    <col min="15362" max="15362" width="49.7109375" style="39" customWidth="1"/>
    <col min="15363" max="15363" width="12.5703125" style="39" customWidth="1"/>
    <col min="15364" max="15364" width="14.85546875" style="39" customWidth="1"/>
    <col min="15365" max="15365" width="16.42578125" style="39" customWidth="1"/>
    <col min="15366" max="15366" width="9.140625" style="39"/>
    <col min="15367" max="15367" width="10.42578125" style="39" bestFit="1" customWidth="1"/>
    <col min="15368" max="15616" width="9.140625" style="39"/>
    <col min="15617" max="15617" width="5.140625" style="39" customWidth="1"/>
    <col min="15618" max="15618" width="49.7109375" style="39" customWidth="1"/>
    <col min="15619" max="15619" width="12.5703125" style="39" customWidth="1"/>
    <col min="15620" max="15620" width="14.85546875" style="39" customWidth="1"/>
    <col min="15621" max="15621" width="16.42578125" style="39" customWidth="1"/>
    <col min="15622" max="15622" width="9.140625" style="39"/>
    <col min="15623" max="15623" width="10.42578125" style="39" bestFit="1" customWidth="1"/>
    <col min="15624" max="15872" width="9.140625" style="39"/>
    <col min="15873" max="15873" width="5.140625" style="39" customWidth="1"/>
    <col min="15874" max="15874" width="49.7109375" style="39" customWidth="1"/>
    <col min="15875" max="15875" width="12.5703125" style="39" customWidth="1"/>
    <col min="15876" max="15876" width="14.85546875" style="39" customWidth="1"/>
    <col min="15877" max="15877" width="16.42578125" style="39" customWidth="1"/>
    <col min="15878" max="15878" width="9.140625" style="39"/>
    <col min="15879" max="15879" width="10.42578125" style="39" bestFit="1" customWidth="1"/>
    <col min="15880" max="16128" width="9.140625" style="39"/>
    <col min="16129" max="16129" width="5.140625" style="39" customWidth="1"/>
    <col min="16130" max="16130" width="49.7109375" style="39" customWidth="1"/>
    <col min="16131" max="16131" width="12.5703125" style="39" customWidth="1"/>
    <col min="16132" max="16132" width="14.85546875" style="39" customWidth="1"/>
    <col min="16133" max="16133" width="16.42578125" style="39" customWidth="1"/>
    <col min="16134" max="16134" width="9.140625" style="39"/>
    <col min="16135" max="16135" width="10.42578125" style="39" bestFit="1" customWidth="1"/>
    <col min="16136" max="16384" width="9.140625" style="39"/>
  </cols>
  <sheetData>
    <row r="1" spans="1:5" s="103" customFormat="1" ht="21">
      <c r="A1" s="226" t="s">
        <v>307</v>
      </c>
      <c r="B1" s="226"/>
      <c r="C1" s="226"/>
      <c r="D1" s="226"/>
      <c r="E1" s="226"/>
    </row>
    <row r="2" spans="1:5" ht="16.5">
      <c r="A2" s="104"/>
      <c r="B2" s="40" t="s">
        <v>170</v>
      </c>
      <c r="C2" s="104"/>
      <c r="D2" s="104"/>
      <c r="E2" s="104"/>
    </row>
    <row r="3" spans="1:5" ht="17.25" thickBot="1">
      <c r="A3" s="105"/>
      <c r="B3" s="105"/>
      <c r="C3" s="105"/>
      <c r="D3" s="105"/>
      <c r="E3" s="105"/>
    </row>
    <row r="4" spans="1:5" ht="15">
      <c r="A4" s="227" t="s">
        <v>171</v>
      </c>
      <c r="B4" s="229" t="s">
        <v>226</v>
      </c>
      <c r="C4" s="231" t="s">
        <v>227</v>
      </c>
      <c r="D4" s="106" t="s">
        <v>173</v>
      </c>
      <c r="E4" s="107" t="s">
        <v>173</v>
      </c>
    </row>
    <row r="5" spans="1:5" ht="15">
      <c r="A5" s="228"/>
      <c r="B5" s="230"/>
      <c r="C5" s="232"/>
      <c r="D5" s="108" t="s">
        <v>174</v>
      </c>
      <c r="E5" s="109" t="s">
        <v>175</v>
      </c>
    </row>
    <row r="6" spans="1:5" ht="16.5">
      <c r="A6" s="110" t="s">
        <v>228</v>
      </c>
      <c r="B6" s="111" t="s">
        <v>229</v>
      </c>
      <c r="C6" s="112" t="s">
        <v>230</v>
      </c>
      <c r="D6" s="50">
        <f>D7+D10+D11+D18+D26+D27+D28</f>
        <v>169494232.21368802</v>
      </c>
      <c r="E6" s="113">
        <f>E7+E10+E11+E18+E26+E27+E28</f>
        <v>135485530</v>
      </c>
    </row>
    <row r="7" spans="1:5" ht="16.5">
      <c r="A7" s="114"/>
      <c r="B7" s="115" t="s">
        <v>231</v>
      </c>
      <c r="C7" s="116"/>
      <c r="D7" s="50">
        <f>SUM(D8:D9)</f>
        <v>4122916.3262998937</v>
      </c>
      <c r="E7" s="117">
        <f>SUM(E8:E9)</f>
        <v>3626672</v>
      </c>
    </row>
    <row r="8" spans="1:5" ht="16.5">
      <c r="A8" s="118"/>
      <c r="B8" s="119" t="s">
        <v>232</v>
      </c>
      <c r="C8" s="116"/>
      <c r="D8" s="48">
        <f>+[1]bilanci!K32+[1]bilanci!K33</f>
        <v>3713673.5942998854</v>
      </c>
      <c r="E8" s="117">
        <f>+[1]bilanci!G32</f>
        <v>2652529</v>
      </c>
    </row>
    <row r="9" spans="1:5" ht="16.5">
      <c r="A9" s="118"/>
      <c r="B9" s="119" t="s">
        <v>233</v>
      </c>
      <c r="C9" s="116"/>
      <c r="D9" s="48">
        <f>+[1]bilanci!K35</f>
        <v>409242.73200000823</v>
      </c>
      <c r="E9" s="117">
        <f>+[1]bilanci!G35</f>
        <v>974143</v>
      </c>
    </row>
    <row r="10" spans="1:5" ht="16.5">
      <c r="A10" s="118"/>
      <c r="B10" s="120" t="s">
        <v>234</v>
      </c>
      <c r="C10" s="121"/>
      <c r="D10" s="48"/>
      <c r="E10" s="117"/>
    </row>
    <row r="11" spans="1:5" ht="16.5">
      <c r="A11" s="118"/>
      <c r="B11" s="115" t="s">
        <v>235</v>
      </c>
      <c r="C11" s="116"/>
      <c r="D11" s="50">
        <f>SUM(D12:D17)</f>
        <v>73107804.838488132</v>
      </c>
      <c r="E11" s="113">
        <f>SUM(E12:E17)</f>
        <v>43595336</v>
      </c>
    </row>
    <row r="12" spans="1:5" ht="16.5">
      <c r="A12" s="118"/>
      <c r="B12" s="119" t="s">
        <v>236</v>
      </c>
      <c r="C12" s="116"/>
      <c r="D12" s="48">
        <f>+[1]bilanci!K23</f>
        <v>85709917.971699893</v>
      </c>
      <c r="E12" s="117">
        <f>+[1]bilanci!G23</f>
        <v>42755085</v>
      </c>
    </row>
    <row r="13" spans="1:5" ht="16.5">
      <c r="A13" s="118"/>
      <c r="B13" s="119" t="s">
        <v>237</v>
      </c>
      <c r="C13" s="116"/>
      <c r="D13" s="48">
        <f>+[1]bilanci!K25</f>
        <v>0</v>
      </c>
      <c r="E13" s="117"/>
    </row>
    <row r="14" spans="1:5" ht="16.5">
      <c r="A14" s="118"/>
      <c r="B14" s="119" t="s">
        <v>238</v>
      </c>
      <c r="C14" s="116"/>
      <c r="D14" s="48">
        <f>+[1]bilanci!K26</f>
        <v>-12602113.133211769</v>
      </c>
      <c r="E14" s="117">
        <f>+[1]bilanci!G26</f>
        <v>20443</v>
      </c>
    </row>
    <row r="15" spans="1:5" ht="16.5">
      <c r="A15" s="118"/>
      <c r="B15" s="119" t="s">
        <v>239</v>
      </c>
      <c r="C15" s="116"/>
      <c r="D15" s="48">
        <f>+[1]bilanci!K24</f>
        <v>0</v>
      </c>
      <c r="E15" s="117">
        <f>+[1]bilanci!G24</f>
        <v>819808</v>
      </c>
    </row>
    <row r="16" spans="1:5" ht="16.5">
      <c r="A16" s="118"/>
      <c r="B16" s="119" t="s">
        <v>240</v>
      </c>
      <c r="C16" s="116"/>
      <c r="D16" s="48"/>
      <c r="E16" s="117"/>
    </row>
    <row r="17" spans="1:5" ht="16.5">
      <c r="A17" s="118"/>
      <c r="B17" s="119" t="s">
        <v>241</v>
      </c>
      <c r="C17" s="116"/>
      <c r="D17" s="48">
        <f>+[1]bilanci!K27</f>
        <v>0</v>
      </c>
      <c r="E17" s="117"/>
    </row>
    <row r="18" spans="1:5" ht="16.5">
      <c r="A18" s="118"/>
      <c r="B18" s="115" t="s">
        <v>242</v>
      </c>
      <c r="C18" s="116"/>
      <c r="D18" s="50">
        <f>+D19+D20+D23</f>
        <v>91726521.048900008</v>
      </c>
      <c r="E18" s="113">
        <f>+E19+E20+E23</f>
        <v>87726532</v>
      </c>
    </row>
    <row r="19" spans="1:5" ht="16.5">
      <c r="A19" s="118"/>
      <c r="B19" s="119" t="s">
        <v>243</v>
      </c>
      <c r="C19" s="116"/>
      <c r="D19" s="48">
        <f>+[1]bilanci!K20</f>
        <v>88047509.048900008</v>
      </c>
      <c r="E19" s="117">
        <f>+[1]bilanci!G20</f>
        <v>84047520</v>
      </c>
    </row>
    <row r="20" spans="1:5" ht="16.5">
      <c r="A20" s="118"/>
      <c r="B20" s="119" t="s">
        <v>244</v>
      </c>
      <c r="C20" s="116"/>
      <c r="D20" s="48">
        <f>+[1]bilanci!K21</f>
        <v>3679012</v>
      </c>
      <c r="E20" s="117">
        <f>+[1]bilanci!G21</f>
        <v>3679012</v>
      </c>
    </row>
    <row r="21" spans="1:5" ht="16.5">
      <c r="A21" s="118"/>
      <c r="B21" s="119" t="s">
        <v>245</v>
      </c>
      <c r="C21" s="116"/>
      <c r="D21" s="48"/>
      <c r="E21" s="117"/>
    </row>
    <row r="22" spans="1:5" ht="16.5">
      <c r="A22" s="118"/>
      <c r="B22" s="119" t="s">
        <v>246</v>
      </c>
      <c r="C22" s="116"/>
      <c r="D22" s="48"/>
      <c r="E22" s="117"/>
    </row>
    <row r="23" spans="1:5" ht="16.5">
      <c r="A23" s="118"/>
      <c r="B23" s="119" t="s">
        <v>247</v>
      </c>
      <c r="C23" s="116"/>
      <c r="D23" s="48">
        <f>+[1]bilanci!K19</f>
        <v>0</v>
      </c>
      <c r="E23" s="117">
        <f>+[1]bilanci!G19</f>
        <v>0</v>
      </c>
    </row>
    <row r="24" spans="1:5" ht="16.5">
      <c r="A24" s="118"/>
      <c r="B24" s="119" t="s">
        <v>248</v>
      </c>
      <c r="C24" s="116"/>
      <c r="D24" s="48"/>
      <c r="E24" s="117"/>
    </row>
    <row r="25" spans="1:5" ht="16.5">
      <c r="A25" s="118"/>
      <c r="B25" s="119" t="s">
        <v>249</v>
      </c>
      <c r="C25" s="116"/>
      <c r="D25" s="48"/>
      <c r="E25" s="117"/>
    </row>
    <row r="26" spans="1:5" ht="16.5">
      <c r="A26" s="114"/>
      <c r="B26" s="115" t="s">
        <v>250</v>
      </c>
      <c r="C26" s="116"/>
      <c r="D26" s="48"/>
      <c r="E26" s="117"/>
    </row>
    <row r="27" spans="1:5" ht="16.5">
      <c r="A27" s="118"/>
      <c r="B27" s="115" t="s">
        <v>251</v>
      </c>
      <c r="C27" s="116"/>
      <c r="D27" s="48"/>
      <c r="E27" s="117"/>
    </row>
    <row r="28" spans="1:5" ht="16.5">
      <c r="A28" s="118"/>
      <c r="B28" s="115" t="s">
        <v>252</v>
      </c>
      <c r="C28" s="116"/>
      <c r="D28" s="50">
        <f>SUM(D29:D30)</f>
        <v>536990</v>
      </c>
      <c r="E28" s="113">
        <f>SUM(E29:E30)</f>
        <v>536990</v>
      </c>
    </row>
    <row r="29" spans="1:5" ht="16.5">
      <c r="A29" s="118"/>
      <c r="B29" s="119" t="s">
        <v>253</v>
      </c>
      <c r="C29" s="116"/>
      <c r="D29" s="48">
        <f>+[1]bilanci!K31</f>
        <v>536990</v>
      </c>
      <c r="E29" s="117">
        <f>+[1]bilanci!G31</f>
        <v>536990</v>
      </c>
    </row>
    <row r="30" spans="1:5" ht="16.5">
      <c r="A30" s="118"/>
      <c r="B30" s="119" t="s">
        <v>249</v>
      </c>
      <c r="C30" s="116"/>
      <c r="D30" s="48"/>
      <c r="E30" s="117"/>
    </row>
    <row r="31" spans="1:5" ht="16.5">
      <c r="A31" s="110" t="s">
        <v>254</v>
      </c>
      <c r="B31" s="115" t="s">
        <v>255</v>
      </c>
      <c r="C31" s="112" t="s">
        <v>230</v>
      </c>
      <c r="D31" s="50">
        <f>D32+D33+D38+D39+D40+D41</f>
        <v>97329926.286023334</v>
      </c>
      <c r="E31" s="113">
        <f>E32+E33+E38+E39+E40+E41</f>
        <v>47588285</v>
      </c>
    </row>
    <row r="32" spans="1:5" ht="16.5">
      <c r="A32" s="118"/>
      <c r="B32" s="115" t="s">
        <v>256</v>
      </c>
      <c r="C32" s="116"/>
      <c r="D32" s="48"/>
      <c r="E32" s="117"/>
    </row>
    <row r="33" spans="1:5" ht="16.5">
      <c r="A33" s="118"/>
      <c r="B33" s="115" t="s">
        <v>257</v>
      </c>
      <c r="C33" s="116"/>
      <c r="D33" s="50">
        <f>+D34+D35+D36+D37</f>
        <v>97329926.286023334</v>
      </c>
      <c r="E33" s="113">
        <f>+E34+E35+E36+E37</f>
        <v>47588285</v>
      </c>
    </row>
    <row r="34" spans="1:5" ht="16.5">
      <c r="A34" s="118"/>
      <c r="B34" s="119" t="s">
        <v>258</v>
      </c>
      <c r="C34" s="116"/>
      <c r="D34" s="48"/>
      <c r="E34" s="117"/>
    </row>
    <row r="35" spans="1:5" ht="16.5">
      <c r="A35" s="118"/>
      <c r="B35" s="119" t="s">
        <v>259</v>
      </c>
      <c r="C35" s="116"/>
      <c r="D35" s="122">
        <f>+[1]amort.!I6+[1]amort.!I146-[1]amort.!K6-[1]amort.!K146</f>
        <v>5510084.427083333</v>
      </c>
      <c r="E35" s="117">
        <v>5324731</v>
      </c>
    </row>
    <row r="36" spans="1:5" ht="16.5">
      <c r="A36" s="118"/>
      <c r="B36" s="119" t="s">
        <v>260</v>
      </c>
      <c r="C36" s="116"/>
      <c r="D36" s="122">
        <f>+[1]amort.!I147-[1]amort.!I146-[1]amort.!I6-[1]amort.!K147+[1]amort.!K146+[1]amort.!K6+399</f>
        <v>91819841.858940005</v>
      </c>
      <c r="E36" s="117">
        <v>42263554</v>
      </c>
    </row>
    <row r="37" spans="1:5" ht="16.5">
      <c r="A37" s="118"/>
      <c r="B37" s="119" t="s">
        <v>261</v>
      </c>
      <c r="C37" s="116"/>
      <c r="D37" s="48"/>
      <c r="E37" s="117"/>
    </row>
    <row r="38" spans="1:5" ht="16.5">
      <c r="A38" s="118"/>
      <c r="B38" s="115" t="s">
        <v>262</v>
      </c>
      <c r="C38" s="116"/>
      <c r="D38" s="48"/>
      <c r="E38" s="117"/>
    </row>
    <row r="39" spans="1:5" ht="16.5">
      <c r="A39" s="118"/>
      <c r="B39" s="115" t="s">
        <v>263</v>
      </c>
      <c r="C39" s="116"/>
      <c r="D39" s="48">
        <f>+[1]bilanci!K13+[1]bilanci!K18</f>
        <v>0</v>
      </c>
      <c r="E39" s="117"/>
    </row>
    <row r="40" spans="1:5" ht="16.5">
      <c r="A40" s="118"/>
      <c r="B40" s="115" t="s">
        <v>264</v>
      </c>
      <c r="C40" s="116"/>
      <c r="D40" s="48"/>
      <c r="E40" s="117"/>
    </row>
    <row r="41" spans="1:5" ht="16.5">
      <c r="A41" s="118"/>
      <c r="B41" s="115" t="s">
        <v>265</v>
      </c>
      <c r="C41" s="116"/>
      <c r="D41" s="48"/>
      <c r="E41" s="117"/>
    </row>
    <row r="42" spans="1:5" ht="16.5">
      <c r="A42" s="118"/>
      <c r="B42" s="111" t="s">
        <v>266</v>
      </c>
      <c r="C42" s="112" t="s">
        <v>230</v>
      </c>
      <c r="D42" s="50">
        <f>D31+D6</f>
        <v>266824158.49971133</v>
      </c>
      <c r="E42" s="113">
        <f>E31+E6</f>
        <v>183073815</v>
      </c>
    </row>
    <row r="43" spans="1:5" ht="17.25" thickBot="1">
      <c r="A43" s="123"/>
      <c r="B43" s="124"/>
      <c r="C43" s="124"/>
      <c r="D43" s="125"/>
      <c r="E43" s="126"/>
    </row>
    <row r="44" spans="1:5" ht="16.5">
      <c r="A44" s="127"/>
      <c r="B44" s="121"/>
      <c r="C44" s="121"/>
      <c r="D44" s="121"/>
      <c r="E44" s="128"/>
    </row>
    <row r="45" spans="1:5" s="38" customFormat="1" ht="16.5">
      <c r="A45" s="127"/>
      <c r="B45" s="121"/>
      <c r="C45" s="121"/>
      <c r="D45" s="121"/>
      <c r="E45" s="128"/>
    </row>
    <row r="46" spans="1:5" s="38" customFormat="1" ht="16.5">
      <c r="A46" s="127"/>
      <c r="B46" s="121"/>
      <c r="C46" s="121"/>
      <c r="D46" s="121"/>
      <c r="E46" s="128"/>
    </row>
    <row r="47" spans="1:5" s="38" customFormat="1" ht="16.5">
      <c r="A47" s="127"/>
      <c r="B47" s="121"/>
      <c r="C47" s="121"/>
      <c r="D47" s="128"/>
      <c r="E47" s="128"/>
    </row>
    <row r="48" spans="1:5" s="38" customFormat="1" ht="16.5">
      <c r="A48" s="129"/>
      <c r="B48" s="121"/>
      <c r="C48" s="121"/>
      <c r="D48" s="128"/>
      <c r="E48" s="128"/>
    </row>
    <row r="49" spans="1:5" s="38" customFormat="1" ht="16.5">
      <c r="A49" s="127"/>
      <c r="B49" s="127"/>
      <c r="C49" s="127"/>
      <c r="D49" s="127"/>
      <c r="E49" s="127"/>
    </row>
    <row r="50" spans="1:5" s="38" customFormat="1" ht="16.5">
      <c r="A50" s="127"/>
      <c r="B50" s="127"/>
      <c r="C50" s="127"/>
      <c r="D50" s="128"/>
      <c r="E50" s="127"/>
    </row>
    <row r="51" spans="1:5" s="38" customFormat="1" ht="16.5">
      <c r="A51" s="127"/>
      <c r="B51" s="130"/>
      <c r="C51" s="130"/>
      <c r="D51" s="128"/>
      <c r="E51" s="131"/>
    </row>
    <row r="52" spans="1:5" s="38" customFormat="1" ht="16.5">
      <c r="A52" s="127"/>
      <c r="B52" s="127"/>
      <c r="C52" s="127"/>
      <c r="D52" s="127"/>
      <c r="E52" s="127"/>
    </row>
    <row r="53" spans="1:5" s="38" customFormat="1" ht="16.5">
      <c r="A53" s="127"/>
      <c r="B53" s="127"/>
      <c r="C53" s="127"/>
      <c r="D53" s="127"/>
      <c r="E53" s="127"/>
    </row>
    <row r="54" spans="1:5" s="38" customFormat="1" ht="16.5">
      <c r="A54" s="127"/>
      <c r="B54" s="127"/>
      <c r="C54" s="127"/>
      <c r="D54" s="127"/>
      <c r="E54" s="127"/>
    </row>
    <row r="55" spans="1:5" ht="16.5">
      <c r="A55" s="105"/>
      <c r="B55" s="105"/>
      <c r="C55" s="105"/>
      <c r="D55" s="105"/>
      <c r="E55" s="105"/>
    </row>
  </sheetData>
  <mergeCells count="4">
    <mergeCell ref="A1:E1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topLeftCell="A31" workbookViewId="0">
      <selection activeCell="E38" sqref="E38"/>
    </sheetView>
  </sheetViews>
  <sheetFormatPr defaultRowHeight="12.75"/>
  <cols>
    <col min="1" max="1" width="5.28515625" style="39" customWidth="1"/>
    <col min="2" max="2" width="52.140625" style="39" customWidth="1"/>
    <col min="3" max="3" width="11" style="39" customWidth="1"/>
    <col min="4" max="4" width="14.85546875" style="39" customWidth="1"/>
    <col min="5" max="5" width="17.42578125" style="39" customWidth="1"/>
    <col min="6" max="6" width="9.140625" style="39"/>
    <col min="7" max="7" width="10.42578125" style="39" bestFit="1" customWidth="1"/>
    <col min="8" max="256" width="9.140625" style="39"/>
    <col min="257" max="257" width="5.28515625" style="39" customWidth="1"/>
    <col min="258" max="258" width="52.140625" style="39" customWidth="1"/>
    <col min="259" max="259" width="11" style="39" customWidth="1"/>
    <col min="260" max="260" width="14.85546875" style="39" customWidth="1"/>
    <col min="261" max="261" width="17.42578125" style="39" customWidth="1"/>
    <col min="262" max="262" width="9.140625" style="39"/>
    <col min="263" max="263" width="10.42578125" style="39" bestFit="1" customWidth="1"/>
    <col min="264" max="512" width="9.140625" style="39"/>
    <col min="513" max="513" width="5.28515625" style="39" customWidth="1"/>
    <col min="514" max="514" width="52.140625" style="39" customWidth="1"/>
    <col min="515" max="515" width="11" style="39" customWidth="1"/>
    <col min="516" max="516" width="14.85546875" style="39" customWidth="1"/>
    <col min="517" max="517" width="17.42578125" style="39" customWidth="1"/>
    <col min="518" max="518" width="9.140625" style="39"/>
    <col min="519" max="519" width="10.42578125" style="39" bestFit="1" customWidth="1"/>
    <col min="520" max="768" width="9.140625" style="39"/>
    <col min="769" max="769" width="5.28515625" style="39" customWidth="1"/>
    <col min="770" max="770" width="52.140625" style="39" customWidth="1"/>
    <col min="771" max="771" width="11" style="39" customWidth="1"/>
    <col min="772" max="772" width="14.85546875" style="39" customWidth="1"/>
    <col min="773" max="773" width="17.42578125" style="39" customWidth="1"/>
    <col min="774" max="774" width="9.140625" style="39"/>
    <col min="775" max="775" width="10.42578125" style="39" bestFit="1" customWidth="1"/>
    <col min="776" max="1024" width="9.140625" style="39"/>
    <col min="1025" max="1025" width="5.28515625" style="39" customWidth="1"/>
    <col min="1026" max="1026" width="52.140625" style="39" customWidth="1"/>
    <col min="1027" max="1027" width="11" style="39" customWidth="1"/>
    <col min="1028" max="1028" width="14.85546875" style="39" customWidth="1"/>
    <col min="1029" max="1029" width="17.42578125" style="39" customWidth="1"/>
    <col min="1030" max="1030" width="9.140625" style="39"/>
    <col min="1031" max="1031" width="10.42578125" style="39" bestFit="1" customWidth="1"/>
    <col min="1032" max="1280" width="9.140625" style="39"/>
    <col min="1281" max="1281" width="5.28515625" style="39" customWidth="1"/>
    <col min="1282" max="1282" width="52.140625" style="39" customWidth="1"/>
    <col min="1283" max="1283" width="11" style="39" customWidth="1"/>
    <col min="1284" max="1284" width="14.85546875" style="39" customWidth="1"/>
    <col min="1285" max="1285" width="17.42578125" style="39" customWidth="1"/>
    <col min="1286" max="1286" width="9.140625" style="39"/>
    <col min="1287" max="1287" width="10.42578125" style="39" bestFit="1" customWidth="1"/>
    <col min="1288" max="1536" width="9.140625" style="39"/>
    <col min="1537" max="1537" width="5.28515625" style="39" customWidth="1"/>
    <col min="1538" max="1538" width="52.140625" style="39" customWidth="1"/>
    <col min="1539" max="1539" width="11" style="39" customWidth="1"/>
    <col min="1540" max="1540" width="14.85546875" style="39" customWidth="1"/>
    <col min="1541" max="1541" width="17.42578125" style="39" customWidth="1"/>
    <col min="1542" max="1542" width="9.140625" style="39"/>
    <col min="1543" max="1543" width="10.42578125" style="39" bestFit="1" customWidth="1"/>
    <col min="1544" max="1792" width="9.140625" style="39"/>
    <col min="1793" max="1793" width="5.28515625" style="39" customWidth="1"/>
    <col min="1794" max="1794" width="52.140625" style="39" customWidth="1"/>
    <col min="1795" max="1795" width="11" style="39" customWidth="1"/>
    <col min="1796" max="1796" width="14.85546875" style="39" customWidth="1"/>
    <col min="1797" max="1797" width="17.42578125" style="39" customWidth="1"/>
    <col min="1798" max="1798" width="9.140625" style="39"/>
    <col min="1799" max="1799" width="10.42578125" style="39" bestFit="1" customWidth="1"/>
    <col min="1800" max="2048" width="9.140625" style="39"/>
    <col min="2049" max="2049" width="5.28515625" style="39" customWidth="1"/>
    <col min="2050" max="2050" width="52.140625" style="39" customWidth="1"/>
    <col min="2051" max="2051" width="11" style="39" customWidth="1"/>
    <col min="2052" max="2052" width="14.85546875" style="39" customWidth="1"/>
    <col min="2053" max="2053" width="17.42578125" style="39" customWidth="1"/>
    <col min="2054" max="2054" width="9.140625" style="39"/>
    <col min="2055" max="2055" width="10.42578125" style="39" bestFit="1" customWidth="1"/>
    <col min="2056" max="2304" width="9.140625" style="39"/>
    <col min="2305" max="2305" width="5.28515625" style="39" customWidth="1"/>
    <col min="2306" max="2306" width="52.140625" style="39" customWidth="1"/>
    <col min="2307" max="2307" width="11" style="39" customWidth="1"/>
    <col min="2308" max="2308" width="14.85546875" style="39" customWidth="1"/>
    <col min="2309" max="2309" width="17.42578125" style="39" customWidth="1"/>
    <col min="2310" max="2310" width="9.140625" style="39"/>
    <col min="2311" max="2311" width="10.42578125" style="39" bestFit="1" customWidth="1"/>
    <col min="2312" max="2560" width="9.140625" style="39"/>
    <col min="2561" max="2561" width="5.28515625" style="39" customWidth="1"/>
    <col min="2562" max="2562" width="52.140625" style="39" customWidth="1"/>
    <col min="2563" max="2563" width="11" style="39" customWidth="1"/>
    <col min="2564" max="2564" width="14.85546875" style="39" customWidth="1"/>
    <col min="2565" max="2565" width="17.42578125" style="39" customWidth="1"/>
    <col min="2566" max="2566" width="9.140625" style="39"/>
    <col min="2567" max="2567" width="10.42578125" style="39" bestFit="1" customWidth="1"/>
    <col min="2568" max="2816" width="9.140625" style="39"/>
    <col min="2817" max="2817" width="5.28515625" style="39" customWidth="1"/>
    <col min="2818" max="2818" width="52.140625" style="39" customWidth="1"/>
    <col min="2819" max="2819" width="11" style="39" customWidth="1"/>
    <col min="2820" max="2820" width="14.85546875" style="39" customWidth="1"/>
    <col min="2821" max="2821" width="17.42578125" style="39" customWidth="1"/>
    <col min="2822" max="2822" width="9.140625" style="39"/>
    <col min="2823" max="2823" width="10.42578125" style="39" bestFit="1" customWidth="1"/>
    <col min="2824" max="3072" width="9.140625" style="39"/>
    <col min="3073" max="3073" width="5.28515625" style="39" customWidth="1"/>
    <col min="3074" max="3074" width="52.140625" style="39" customWidth="1"/>
    <col min="3075" max="3075" width="11" style="39" customWidth="1"/>
    <col min="3076" max="3076" width="14.85546875" style="39" customWidth="1"/>
    <col min="3077" max="3077" width="17.42578125" style="39" customWidth="1"/>
    <col min="3078" max="3078" width="9.140625" style="39"/>
    <col min="3079" max="3079" width="10.42578125" style="39" bestFit="1" customWidth="1"/>
    <col min="3080" max="3328" width="9.140625" style="39"/>
    <col min="3329" max="3329" width="5.28515625" style="39" customWidth="1"/>
    <col min="3330" max="3330" width="52.140625" style="39" customWidth="1"/>
    <col min="3331" max="3331" width="11" style="39" customWidth="1"/>
    <col min="3332" max="3332" width="14.85546875" style="39" customWidth="1"/>
    <col min="3333" max="3333" width="17.42578125" style="39" customWidth="1"/>
    <col min="3334" max="3334" width="9.140625" style="39"/>
    <col min="3335" max="3335" width="10.42578125" style="39" bestFit="1" customWidth="1"/>
    <col min="3336" max="3584" width="9.140625" style="39"/>
    <col min="3585" max="3585" width="5.28515625" style="39" customWidth="1"/>
    <col min="3586" max="3586" width="52.140625" style="39" customWidth="1"/>
    <col min="3587" max="3587" width="11" style="39" customWidth="1"/>
    <col min="3588" max="3588" width="14.85546875" style="39" customWidth="1"/>
    <col min="3589" max="3589" width="17.42578125" style="39" customWidth="1"/>
    <col min="3590" max="3590" width="9.140625" style="39"/>
    <col min="3591" max="3591" width="10.42578125" style="39" bestFit="1" customWidth="1"/>
    <col min="3592" max="3840" width="9.140625" style="39"/>
    <col min="3841" max="3841" width="5.28515625" style="39" customWidth="1"/>
    <col min="3842" max="3842" width="52.140625" style="39" customWidth="1"/>
    <col min="3843" max="3843" width="11" style="39" customWidth="1"/>
    <col min="3844" max="3844" width="14.85546875" style="39" customWidth="1"/>
    <col min="3845" max="3845" width="17.42578125" style="39" customWidth="1"/>
    <col min="3846" max="3846" width="9.140625" style="39"/>
    <col min="3847" max="3847" width="10.42578125" style="39" bestFit="1" customWidth="1"/>
    <col min="3848" max="4096" width="9.140625" style="39"/>
    <col min="4097" max="4097" width="5.28515625" style="39" customWidth="1"/>
    <col min="4098" max="4098" width="52.140625" style="39" customWidth="1"/>
    <col min="4099" max="4099" width="11" style="39" customWidth="1"/>
    <col min="4100" max="4100" width="14.85546875" style="39" customWidth="1"/>
    <col min="4101" max="4101" width="17.42578125" style="39" customWidth="1"/>
    <col min="4102" max="4102" width="9.140625" style="39"/>
    <col min="4103" max="4103" width="10.42578125" style="39" bestFit="1" customWidth="1"/>
    <col min="4104" max="4352" width="9.140625" style="39"/>
    <col min="4353" max="4353" width="5.28515625" style="39" customWidth="1"/>
    <col min="4354" max="4354" width="52.140625" style="39" customWidth="1"/>
    <col min="4355" max="4355" width="11" style="39" customWidth="1"/>
    <col min="4356" max="4356" width="14.85546875" style="39" customWidth="1"/>
    <col min="4357" max="4357" width="17.42578125" style="39" customWidth="1"/>
    <col min="4358" max="4358" width="9.140625" style="39"/>
    <col min="4359" max="4359" width="10.42578125" style="39" bestFit="1" customWidth="1"/>
    <col min="4360" max="4608" width="9.140625" style="39"/>
    <col min="4609" max="4609" width="5.28515625" style="39" customWidth="1"/>
    <col min="4610" max="4610" width="52.140625" style="39" customWidth="1"/>
    <col min="4611" max="4611" width="11" style="39" customWidth="1"/>
    <col min="4612" max="4612" width="14.85546875" style="39" customWidth="1"/>
    <col min="4613" max="4613" width="17.42578125" style="39" customWidth="1"/>
    <col min="4614" max="4614" width="9.140625" style="39"/>
    <col min="4615" max="4615" width="10.42578125" style="39" bestFit="1" customWidth="1"/>
    <col min="4616" max="4864" width="9.140625" style="39"/>
    <col min="4865" max="4865" width="5.28515625" style="39" customWidth="1"/>
    <col min="4866" max="4866" width="52.140625" style="39" customWidth="1"/>
    <col min="4867" max="4867" width="11" style="39" customWidth="1"/>
    <col min="4868" max="4868" width="14.85546875" style="39" customWidth="1"/>
    <col min="4869" max="4869" width="17.42578125" style="39" customWidth="1"/>
    <col min="4870" max="4870" width="9.140625" style="39"/>
    <col min="4871" max="4871" width="10.42578125" style="39" bestFit="1" customWidth="1"/>
    <col min="4872" max="5120" width="9.140625" style="39"/>
    <col min="5121" max="5121" width="5.28515625" style="39" customWidth="1"/>
    <col min="5122" max="5122" width="52.140625" style="39" customWidth="1"/>
    <col min="5123" max="5123" width="11" style="39" customWidth="1"/>
    <col min="5124" max="5124" width="14.85546875" style="39" customWidth="1"/>
    <col min="5125" max="5125" width="17.42578125" style="39" customWidth="1"/>
    <col min="5126" max="5126" width="9.140625" style="39"/>
    <col min="5127" max="5127" width="10.42578125" style="39" bestFit="1" customWidth="1"/>
    <col min="5128" max="5376" width="9.140625" style="39"/>
    <col min="5377" max="5377" width="5.28515625" style="39" customWidth="1"/>
    <col min="5378" max="5378" width="52.140625" style="39" customWidth="1"/>
    <col min="5379" max="5379" width="11" style="39" customWidth="1"/>
    <col min="5380" max="5380" width="14.85546875" style="39" customWidth="1"/>
    <col min="5381" max="5381" width="17.42578125" style="39" customWidth="1"/>
    <col min="5382" max="5382" width="9.140625" style="39"/>
    <col min="5383" max="5383" width="10.42578125" style="39" bestFit="1" customWidth="1"/>
    <col min="5384" max="5632" width="9.140625" style="39"/>
    <col min="5633" max="5633" width="5.28515625" style="39" customWidth="1"/>
    <col min="5634" max="5634" width="52.140625" style="39" customWidth="1"/>
    <col min="5635" max="5635" width="11" style="39" customWidth="1"/>
    <col min="5636" max="5636" width="14.85546875" style="39" customWidth="1"/>
    <col min="5637" max="5637" width="17.42578125" style="39" customWidth="1"/>
    <col min="5638" max="5638" width="9.140625" style="39"/>
    <col min="5639" max="5639" width="10.42578125" style="39" bestFit="1" customWidth="1"/>
    <col min="5640" max="5888" width="9.140625" style="39"/>
    <col min="5889" max="5889" width="5.28515625" style="39" customWidth="1"/>
    <col min="5890" max="5890" width="52.140625" style="39" customWidth="1"/>
    <col min="5891" max="5891" width="11" style="39" customWidth="1"/>
    <col min="5892" max="5892" width="14.85546875" style="39" customWidth="1"/>
    <col min="5893" max="5893" width="17.42578125" style="39" customWidth="1"/>
    <col min="5894" max="5894" width="9.140625" style="39"/>
    <col min="5895" max="5895" width="10.42578125" style="39" bestFit="1" customWidth="1"/>
    <col min="5896" max="6144" width="9.140625" style="39"/>
    <col min="6145" max="6145" width="5.28515625" style="39" customWidth="1"/>
    <col min="6146" max="6146" width="52.140625" style="39" customWidth="1"/>
    <col min="6147" max="6147" width="11" style="39" customWidth="1"/>
    <col min="6148" max="6148" width="14.85546875" style="39" customWidth="1"/>
    <col min="6149" max="6149" width="17.42578125" style="39" customWidth="1"/>
    <col min="6150" max="6150" width="9.140625" style="39"/>
    <col min="6151" max="6151" width="10.42578125" style="39" bestFit="1" customWidth="1"/>
    <col min="6152" max="6400" width="9.140625" style="39"/>
    <col min="6401" max="6401" width="5.28515625" style="39" customWidth="1"/>
    <col min="6402" max="6402" width="52.140625" style="39" customWidth="1"/>
    <col min="6403" max="6403" width="11" style="39" customWidth="1"/>
    <col min="6404" max="6404" width="14.85546875" style="39" customWidth="1"/>
    <col min="6405" max="6405" width="17.42578125" style="39" customWidth="1"/>
    <col min="6406" max="6406" width="9.140625" style="39"/>
    <col min="6407" max="6407" width="10.42578125" style="39" bestFit="1" customWidth="1"/>
    <col min="6408" max="6656" width="9.140625" style="39"/>
    <col min="6657" max="6657" width="5.28515625" style="39" customWidth="1"/>
    <col min="6658" max="6658" width="52.140625" style="39" customWidth="1"/>
    <col min="6659" max="6659" width="11" style="39" customWidth="1"/>
    <col min="6660" max="6660" width="14.85546875" style="39" customWidth="1"/>
    <col min="6661" max="6661" width="17.42578125" style="39" customWidth="1"/>
    <col min="6662" max="6662" width="9.140625" style="39"/>
    <col min="6663" max="6663" width="10.42578125" style="39" bestFit="1" customWidth="1"/>
    <col min="6664" max="6912" width="9.140625" style="39"/>
    <col min="6913" max="6913" width="5.28515625" style="39" customWidth="1"/>
    <col min="6914" max="6914" width="52.140625" style="39" customWidth="1"/>
    <col min="6915" max="6915" width="11" style="39" customWidth="1"/>
    <col min="6916" max="6916" width="14.85546875" style="39" customWidth="1"/>
    <col min="6917" max="6917" width="17.42578125" style="39" customWidth="1"/>
    <col min="6918" max="6918" width="9.140625" style="39"/>
    <col min="6919" max="6919" width="10.42578125" style="39" bestFit="1" customWidth="1"/>
    <col min="6920" max="7168" width="9.140625" style="39"/>
    <col min="7169" max="7169" width="5.28515625" style="39" customWidth="1"/>
    <col min="7170" max="7170" width="52.140625" style="39" customWidth="1"/>
    <col min="7171" max="7171" width="11" style="39" customWidth="1"/>
    <col min="7172" max="7172" width="14.85546875" style="39" customWidth="1"/>
    <col min="7173" max="7173" width="17.42578125" style="39" customWidth="1"/>
    <col min="7174" max="7174" width="9.140625" style="39"/>
    <col min="7175" max="7175" width="10.42578125" style="39" bestFit="1" customWidth="1"/>
    <col min="7176" max="7424" width="9.140625" style="39"/>
    <col min="7425" max="7425" width="5.28515625" style="39" customWidth="1"/>
    <col min="7426" max="7426" width="52.140625" style="39" customWidth="1"/>
    <col min="7427" max="7427" width="11" style="39" customWidth="1"/>
    <col min="7428" max="7428" width="14.85546875" style="39" customWidth="1"/>
    <col min="7429" max="7429" width="17.42578125" style="39" customWidth="1"/>
    <col min="7430" max="7430" width="9.140625" style="39"/>
    <col min="7431" max="7431" width="10.42578125" style="39" bestFit="1" customWidth="1"/>
    <col min="7432" max="7680" width="9.140625" style="39"/>
    <col min="7681" max="7681" width="5.28515625" style="39" customWidth="1"/>
    <col min="7682" max="7682" width="52.140625" style="39" customWidth="1"/>
    <col min="7683" max="7683" width="11" style="39" customWidth="1"/>
    <col min="7684" max="7684" width="14.85546875" style="39" customWidth="1"/>
    <col min="7685" max="7685" width="17.42578125" style="39" customWidth="1"/>
    <col min="7686" max="7686" width="9.140625" style="39"/>
    <col min="7687" max="7687" width="10.42578125" style="39" bestFit="1" customWidth="1"/>
    <col min="7688" max="7936" width="9.140625" style="39"/>
    <col min="7937" max="7937" width="5.28515625" style="39" customWidth="1"/>
    <col min="7938" max="7938" width="52.140625" style="39" customWidth="1"/>
    <col min="7939" max="7939" width="11" style="39" customWidth="1"/>
    <col min="7940" max="7940" width="14.85546875" style="39" customWidth="1"/>
    <col min="7941" max="7941" width="17.42578125" style="39" customWidth="1"/>
    <col min="7942" max="7942" width="9.140625" style="39"/>
    <col min="7943" max="7943" width="10.42578125" style="39" bestFit="1" customWidth="1"/>
    <col min="7944" max="8192" width="9.140625" style="39"/>
    <col min="8193" max="8193" width="5.28515625" style="39" customWidth="1"/>
    <col min="8194" max="8194" width="52.140625" style="39" customWidth="1"/>
    <col min="8195" max="8195" width="11" style="39" customWidth="1"/>
    <col min="8196" max="8196" width="14.85546875" style="39" customWidth="1"/>
    <col min="8197" max="8197" width="17.42578125" style="39" customWidth="1"/>
    <col min="8198" max="8198" width="9.140625" style="39"/>
    <col min="8199" max="8199" width="10.42578125" style="39" bestFit="1" customWidth="1"/>
    <col min="8200" max="8448" width="9.140625" style="39"/>
    <col min="8449" max="8449" width="5.28515625" style="39" customWidth="1"/>
    <col min="8450" max="8450" width="52.140625" style="39" customWidth="1"/>
    <col min="8451" max="8451" width="11" style="39" customWidth="1"/>
    <col min="8452" max="8452" width="14.85546875" style="39" customWidth="1"/>
    <col min="8453" max="8453" width="17.42578125" style="39" customWidth="1"/>
    <col min="8454" max="8454" width="9.140625" style="39"/>
    <col min="8455" max="8455" width="10.42578125" style="39" bestFit="1" customWidth="1"/>
    <col min="8456" max="8704" width="9.140625" style="39"/>
    <col min="8705" max="8705" width="5.28515625" style="39" customWidth="1"/>
    <col min="8706" max="8706" width="52.140625" style="39" customWidth="1"/>
    <col min="8707" max="8707" width="11" style="39" customWidth="1"/>
    <col min="8708" max="8708" width="14.85546875" style="39" customWidth="1"/>
    <col min="8709" max="8709" width="17.42578125" style="39" customWidth="1"/>
    <col min="8710" max="8710" width="9.140625" style="39"/>
    <col min="8711" max="8711" width="10.42578125" style="39" bestFit="1" customWidth="1"/>
    <col min="8712" max="8960" width="9.140625" style="39"/>
    <col min="8961" max="8961" width="5.28515625" style="39" customWidth="1"/>
    <col min="8962" max="8962" width="52.140625" style="39" customWidth="1"/>
    <col min="8963" max="8963" width="11" style="39" customWidth="1"/>
    <col min="8964" max="8964" width="14.85546875" style="39" customWidth="1"/>
    <col min="8965" max="8965" width="17.42578125" style="39" customWidth="1"/>
    <col min="8966" max="8966" width="9.140625" style="39"/>
    <col min="8967" max="8967" width="10.42578125" style="39" bestFit="1" customWidth="1"/>
    <col min="8968" max="9216" width="9.140625" style="39"/>
    <col min="9217" max="9217" width="5.28515625" style="39" customWidth="1"/>
    <col min="9218" max="9218" width="52.140625" style="39" customWidth="1"/>
    <col min="9219" max="9219" width="11" style="39" customWidth="1"/>
    <col min="9220" max="9220" width="14.85546875" style="39" customWidth="1"/>
    <col min="9221" max="9221" width="17.42578125" style="39" customWidth="1"/>
    <col min="9222" max="9222" width="9.140625" style="39"/>
    <col min="9223" max="9223" width="10.42578125" style="39" bestFit="1" customWidth="1"/>
    <col min="9224" max="9472" width="9.140625" style="39"/>
    <col min="9473" max="9473" width="5.28515625" style="39" customWidth="1"/>
    <col min="9474" max="9474" width="52.140625" style="39" customWidth="1"/>
    <col min="9475" max="9475" width="11" style="39" customWidth="1"/>
    <col min="9476" max="9476" width="14.85546875" style="39" customWidth="1"/>
    <col min="9477" max="9477" width="17.42578125" style="39" customWidth="1"/>
    <col min="9478" max="9478" width="9.140625" style="39"/>
    <col min="9479" max="9479" width="10.42578125" style="39" bestFit="1" customWidth="1"/>
    <col min="9480" max="9728" width="9.140625" style="39"/>
    <col min="9729" max="9729" width="5.28515625" style="39" customWidth="1"/>
    <col min="9730" max="9730" width="52.140625" style="39" customWidth="1"/>
    <col min="9731" max="9731" width="11" style="39" customWidth="1"/>
    <col min="9732" max="9732" width="14.85546875" style="39" customWidth="1"/>
    <col min="9733" max="9733" width="17.42578125" style="39" customWidth="1"/>
    <col min="9734" max="9734" width="9.140625" style="39"/>
    <col min="9735" max="9735" width="10.42578125" style="39" bestFit="1" customWidth="1"/>
    <col min="9736" max="9984" width="9.140625" style="39"/>
    <col min="9985" max="9985" width="5.28515625" style="39" customWidth="1"/>
    <col min="9986" max="9986" width="52.140625" style="39" customWidth="1"/>
    <col min="9987" max="9987" width="11" style="39" customWidth="1"/>
    <col min="9988" max="9988" width="14.85546875" style="39" customWidth="1"/>
    <col min="9989" max="9989" width="17.42578125" style="39" customWidth="1"/>
    <col min="9990" max="9990" width="9.140625" style="39"/>
    <col min="9991" max="9991" width="10.42578125" style="39" bestFit="1" customWidth="1"/>
    <col min="9992" max="10240" width="9.140625" style="39"/>
    <col min="10241" max="10241" width="5.28515625" style="39" customWidth="1"/>
    <col min="10242" max="10242" width="52.140625" style="39" customWidth="1"/>
    <col min="10243" max="10243" width="11" style="39" customWidth="1"/>
    <col min="10244" max="10244" width="14.85546875" style="39" customWidth="1"/>
    <col min="10245" max="10245" width="17.42578125" style="39" customWidth="1"/>
    <col min="10246" max="10246" width="9.140625" style="39"/>
    <col min="10247" max="10247" width="10.42578125" style="39" bestFit="1" customWidth="1"/>
    <col min="10248" max="10496" width="9.140625" style="39"/>
    <col min="10497" max="10497" width="5.28515625" style="39" customWidth="1"/>
    <col min="10498" max="10498" width="52.140625" style="39" customWidth="1"/>
    <col min="10499" max="10499" width="11" style="39" customWidth="1"/>
    <col min="10500" max="10500" width="14.85546875" style="39" customWidth="1"/>
    <col min="10501" max="10501" width="17.42578125" style="39" customWidth="1"/>
    <col min="10502" max="10502" width="9.140625" style="39"/>
    <col min="10503" max="10503" width="10.42578125" style="39" bestFit="1" customWidth="1"/>
    <col min="10504" max="10752" width="9.140625" style="39"/>
    <col min="10753" max="10753" width="5.28515625" style="39" customWidth="1"/>
    <col min="10754" max="10754" width="52.140625" style="39" customWidth="1"/>
    <col min="10755" max="10755" width="11" style="39" customWidth="1"/>
    <col min="10756" max="10756" width="14.85546875" style="39" customWidth="1"/>
    <col min="10757" max="10757" width="17.42578125" style="39" customWidth="1"/>
    <col min="10758" max="10758" width="9.140625" style="39"/>
    <col min="10759" max="10759" width="10.42578125" style="39" bestFit="1" customWidth="1"/>
    <col min="10760" max="11008" width="9.140625" style="39"/>
    <col min="11009" max="11009" width="5.28515625" style="39" customWidth="1"/>
    <col min="11010" max="11010" width="52.140625" style="39" customWidth="1"/>
    <col min="11011" max="11011" width="11" style="39" customWidth="1"/>
    <col min="11012" max="11012" width="14.85546875" style="39" customWidth="1"/>
    <col min="11013" max="11013" width="17.42578125" style="39" customWidth="1"/>
    <col min="11014" max="11014" width="9.140625" style="39"/>
    <col min="11015" max="11015" width="10.42578125" style="39" bestFit="1" customWidth="1"/>
    <col min="11016" max="11264" width="9.140625" style="39"/>
    <col min="11265" max="11265" width="5.28515625" style="39" customWidth="1"/>
    <col min="11266" max="11266" width="52.140625" style="39" customWidth="1"/>
    <col min="11267" max="11267" width="11" style="39" customWidth="1"/>
    <col min="11268" max="11268" width="14.85546875" style="39" customWidth="1"/>
    <col min="11269" max="11269" width="17.42578125" style="39" customWidth="1"/>
    <col min="11270" max="11270" width="9.140625" style="39"/>
    <col min="11271" max="11271" width="10.42578125" style="39" bestFit="1" customWidth="1"/>
    <col min="11272" max="11520" width="9.140625" style="39"/>
    <col min="11521" max="11521" width="5.28515625" style="39" customWidth="1"/>
    <col min="11522" max="11522" width="52.140625" style="39" customWidth="1"/>
    <col min="11523" max="11523" width="11" style="39" customWidth="1"/>
    <col min="11524" max="11524" width="14.85546875" style="39" customWidth="1"/>
    <col min="11525" max="11525" width="17.42578125" style="39" customWidth="1"/>
    <col min="11526" max="11526" width="9.140625" style="39"/>
    <col min="11527" max="11527" width="10.42578125" style="39" bestFit="1" customWidth="1"/>
    <col min="11528" max="11776" width="9.140625" style="39"/>
    <col min="11777" max="11777" width="5.28515625" style="39" customWidth="1"/>
    <col min="11778" max="11778" width="52.140625" style="39" customWidth="1"/>
    <col min="11779" max="11779" width="11" style="39" customWidth="1"/>
    <col min="11780" max="11780" width="14.85546875" style="39" customWidth="1"/>
    <col min="11781" max="11781" width="17.42578125" style="39" customWidth="1"/>
    <col min="11782" max="11782" width="9.140625" style="39"/>
    <col min="11783" max="11783" width="10.42578125" style="39" bestFit="1" customWidth="1"/>
    <col min="11784" max="12032" width="9.140625" style="39"/>
    <col min="12033" max="12033" width="5.28515625" style="39" customWidth="1"/>
    <col min="12034" max="12034" width="52.140625" style="39" customWidth="1"/>
    <col min="12035" max="12035" width="11" style="39" customWidth="1"/>
    <col min="12036" max="12036" width="14.85546875" style="39" customWidth="1"/>
    <col min="12037" max="12037" width="17.42578125" style="39" customWidth="1"/>
    <col min="12038" max="12038" width="9.140625" style="39"/>
    <col min="12039" max="12039" width="10.42578125" style="39" bestFit="1" customWidth="1"/>
    <col min="12040" max="12288" width="9.140625" style="39"/>
    <col min="12289" max="12289" width="5.28515625" style="39" customWidth="1"/>
    <col min="12290" max="12290" width="52.140625" style="39" customWidth="1"/>
    <col min="12291" max="12291" width="11" style="39" customWidth="1"/>
    <col min="12292" max="12292" width="14.85546875" style="39" customWidth="1"/>
    <col min="12293" max="12293" width="17.42578125" style="39" customWidth="1"/>
    <col min="12294" max="12294" width="9.140625" style="39"/>
    <col min="12295" max="12295" width="10.42578125" style="39" bestFit="1" customWidth="1"/>
    <col min="12296" max="12544" width="9.140625" style="39"/>
    <col min="12545" max="12545" width="5.28515625" style="39" customWidth="1"/>
    <col min="12546" max="12546" width="52.140625" style="39" customWidth="1"/>
    <col min="12547" max="12547" width="11" style="39" customWidth="1"/>
    <col min="12548" max="12548" width="14.85546875" style="39" customWidth="1"/>
    <col min="12549" max="12549" width="17.42578125" style="39" customWidth="1"/>
    <col min="12550" max="12550" width="9.140625" style="39"/>
    <col min="12551" max="12551" width="10.42578125" style="39" bestFit="1" customWidth="1"/>
    <col min="12552" max="12800" width="9.140625" style="39"/>
    <col min="12801" max="12801" width="5.28515625" style="39" customWidth="1"/>
    <col min="12802" max="12802" width="52.140625" style="39" customWidth="1"/>
    <col min="12803" max="12803" width="11" style="39" customWidth="1"/>
    <col min="12804" max="12804" width="14.85546875" style="39" customWidth="1"/>
    <col min="12805" max="12805" width="17.42578125" style="39" customWidth="1"/>
    <col min="12806" max="12806" width="9.140625" style="39"/>
    <col min="12807" max="12807" width="10.42578125" style="39" bestFit="1" customWidth="1"/>
    <col min="12808" max="13056" width="9.140625" style="39"/>
    <col min="13057" max="13057" width="5.28515625" style="39" customWidth="1"/>
    <col min="13058" max="13058" width="52.140625" style="39" customWidth="1"/>
    <col min="13059" max="13059" width="11" style="39" customWidth="1"/>
    <col min="13060" max="13060" width="14.85546875" style="39" customWidth="1"/>
    <col min="13061" max="13061" width="17.42578125" style="39" customWidth="1"/>
    <col min="13062" max="13062" width="9.140625" style="39"/>
    <col min="13063" max="13063" width="10.42578125" style="39" bestFit="1" customWidth="1"/>
    <col min="13064" max="13312" width="9.140625" style="39"/>
    <col min="13313" max="13313" width="5.28515625" style="39" customWidth="1"/>
    <col min="13314" max="13314" width="52.140625" style="39" customWidth="1"/>
    <col min="13315" max="13315" width="11" style="39" customWidth="1"/>
    <col min="13316" max="13316" width="14.85546875" style="39" customWidth="1"/>
    <col min="13317" max="13317" width="17.42578125" style="39" customWidth="1"/>
    <col min="13318" max="13318" width="9.140625" style="39"/>
    <col min="13319" max="13319" width="10.42578125" style="39" bestFit="1" customWidth="1"/>
    <col min="13320" max="13568" width="9.140625" style="39"/>
    <col min="13569" max="13569" width="5.28515625" style="39" customWidth="1"/>
    <col min="13570" max="13570" width="52.140625" style="39" customWidth="1"/>
    <col min="13571" max="13571" width="11" style="39" customWidth="1"/>
    <col min="13572" max="13572" width="14.85546875" style="39" customWidth="1"/>
    <col min="13573" max="13573" width="17.42578125" style="39" customWidth="1"/>
    <col min="13574" max="13574" width="9.140625" style="39"/>
    <col min="13575" max="13575" width="10.42578125" style="39" bestFit="1" customWidth="1"/>
    <col min="13576" max="13824" width="9.140625" style="39"/>
    <col min="13825" max="13825" width="5.28515625" style="39" customWidth="1"/>
    <col min="13826" max="13826" width="52.140625" style="39" customWidth="1"/>
    <col min="13827" max="13827" width="11" style="39" customWidth="1"/>
    <col min="13828" max="13828" width="14.85546875" style="39" customWidth="1"/>
    <col min="13829" max="13829" width="17.42578125" style="39" customWidth="1"/>
    <col min="13830" max="13830" width="9.140625" style="39"/>
    <col min="13831" max="13831" width="10.42578125" style="39" bestFit="1" customWidth="1"/>
    <col min="13832" max="14080" width="9.140625" style="39"/>
    <col min="14081" max="14081" width="5.28515625" style="39" customWidth="1"/>
    <col min="14082" max="14082" width="52.140625" style="39" customWidth="1"/>
    <col min="14083" max="14083" width="11" style="39" customWidth="1"/>
    <col min="14084" max="14084" width="14.85546875" style="39" customWidth="1"/>
    <col min="14085" max="14085" width="17.42578125" style="39" customWidth="1"/>
    <col min="14086" max="14086" width="9.140625" style="39"/>
    <col min="14087" max="14087" width="10.42578125" style="39" bestFit="1" customWidth="1"/>
    <col min="14088" max="14336" width="9.140625" style="39"/>
    <col min="14337" max="14337" width="5.28515625" style="39" customWidth="1"/>
    <col min="14338" max="14338" width="52.140625" style="39" customWidth="1"/>
    <col min="14339" max="14339" width="11" style="39" customWidth="1"/>
    <col min="14340" max="14340" width="14.85546875" style="39" customWidth="1"/>
    <col min="14341" max="14341" width="17.42578125" style="39" customWidth="1"/>
    <col min="14342" max="14342" width="9.140625" style="39"/>
    <col min="14343" max="14343" width="10.42578125" style="39" bestFit="1" customWidth="1"/>
    <col min="14344" max="14592" width="9.140625" style="39"/>
    <col min="14593" max="14593" width="5.28515625" style="39" customWidth="1"/>
    <col min="14594" max="14594" width="52.140625" style="39" customWidth="1"/>
    <col min="14595" max="14595" width="11" style="39" customWidth="1"/>
    <col min="14596" max="14596" width="14.85546875" style="39" customWidth="1"/>
    <col min="14597" max="14597" width="17.42578125" style="39" customWidth="1"/>
    <col min="14598" max="14598" width="9.140625" style="39"/>
    <col min="14599" max="14599" width="10.42578125" style="39" bestFit="1" customWidth="1"/>
    <col min="14600" max="14848" width="9.140625" style="39"/>
    <col min="14849" max="14849" width="5.28515625" style="39" customWidth="1"/>
    <col min="14850" max="14850" width="52.140625" style="39" customWidth="1"/>
    <col min="14851" max="14851" width="11" style="39" customWidth="1"/>
    <col min="14852" max="14852" width="14.85546875" style="39" customWidth="1"/>
    <col min="14853" max="14853" width="17.42578125" style="39" customWidth="1"/>
    <col min="14854" max="14854" width="9.140625" style="39"/>
    <col min="14855" max="14855" width="10.42578125" style="39" bestFit="1" customWidth="1"/>
    <col min="14856" max="15104" width="9.140625" style="39"/>
    <col min="15105" max="15105" width="5.28515625" style="39" customWidth="1"/>
    <col min="15106" max="15106" width="52.140625" style="39" customWidth="1"/>
    <col min="15107" max="15107" width="11" style="39" customWidth="1"/>
    <col min="15108" max="15108" width="14.85546875" style="39" customWidth="1"/>
    <col min="15109" max="15109" width="17.42578125" style="39" customWidth="1"/>
    <col min="15110" max="15110" width="9.140625" style="39"/>
    <col min="15111" max="15111" width="10.42578125" style="39" bestFit="1" customWidth="1"/>
    <col min="15112" max="15360" width="9.140625" style="39"/>
    <col min="15361" max="15361" width="5.28515625" style="39" customWidth="1"/>
    <col min="15362" max="15362" width="52.140625" style="39" customWidth="1"/>
    <col min="15363" max="15363" width="11" style="39" customWidth="1"/>
    <col min="15364" max="15364" width="14.85546875" style="39" customWidth="1"/>
    <col min="15365" max="15365" width="17.42578125" style="39" customWidth="1"/>
    <col min="15366" max="15366" width="9.140625" style="39"/>
    <col min="15367" max="15367" width="10.42578125" style="39" bestFit="1" customWidth="1"/>
    <col min="15368" max="15616" width="9.140625" style="39"/>
    <col min="15617" max="15617" width="5.28515625" style="39" customWidth="1"/>
    <col min="15618" max="15618" width="52.140625" style="39" customWidth="1"/>
    <col min="15619" max="15619" width="11" style="39" customWidth="1"/>
    <col min="15620" max="15620" width="14.85546875" style="39" customWidth="1"/>
    <col min="15621" max="15621" width="17.42578125" style="39" customWidth="1"/>
    <col min="15622" max="15622" width="9.140625" style="39"/>
    <col min="15623" max="15623" width="10.42578125" style="39" bestFit="1" customWidth="1"/>
    <col min="15624" max="15872" width="9.140625" style="39"/>
    <col min="15873" max="15873" width="5.28515625" style="39" customWidth="1"/>
    <col min="15874" max="15874" width="52.140625" style="39" customWidth="1"/>
    <col min="15875" max="15875" width="11" style="39" customWidth="1"/>
    <col min="15876" max="15876" width="14.85546875" style="39" customWidth="1"/>
    <col min="15877" max="15877" width="17.42578125" style="39" customWidth="1"/>
    <col min="15878" max="15878" width="9.140625" style="39"/>
    <col min="15879" max="15879" width="10.42578125" style="39" bestFit="1" customWidth="1"/>
    <col min="15880" max="16128" width="9.140625" style="39"/>
    <col min="16129" max="16129" width="5.28515625" style="39" customWidth="1"/>
    <col min="16130" max="16130" width="52.140625" style="39" customWidth="1"/>
    <col min="16131" max="16131" width="11" style="39" customWidth="1"/>
    <col min="16132" max="16132" width="14.85546875" style="39" customWidth="1"/>
    <col min="16133" max="16133" width="17.42578125" style="39" customWidth="1"/>
    <col min="16134" max="16134" width="9.140625" style="39"/>
    <col min="16135" max="16135" width="10.42578125" style="39" bestFit="1" customWidth="1"/>
    <col min="16136" max="16384" width="9.140625" style="39"/>
  </cols>
  <sheetData>
    <row r="1" spans="1:5" s="103" customFormat="1" ht="21">
      <c r="A1" s="233" t="s">
        <v>307</v>
      </c>
      <c r="B1" s="233"/>
      <c r="C1" s="233"/>
      <c r="D1" s="233"/>
      <c r="E1" s="233"/>
    </row>
    <row r="2" spans="1:5" ht="17.25" thickBot="1">
      <c r="A2" s="55"/>
      <c r="B2" s="40" t="s">
        <v>170</v>
      </c>
      <c r="C2" s="55"/>
      <c r="D2" s="55"/>
      <c r="E2" s="55"/>
    </row>
    <row r="3" spans="1:5" ht="16.5">
      <c r="A3" s="234" t="s">
        <v>171</v>
      </c>
      <c r="B3" s="236" t="s">
        <v>267</v>
      </c>
      <c r="C3" s="236" t="s">
        <v>268</v>
      </c>
      <c r="D3" s="132" t="s">
        <v>173</v>
      </c>
      <c r="E3" s="133" t="s">
        <v>173</v>
      </c>
    </row>
    <row r="4" spans="1:5" ht="16.5">
      <c r="A4" s="235"/>
      <c r="B4" s="237"/>
      <c r="C4" s="237"/>
      <c r="D4" s="43" t="s">
        <v>174</v>
      </c>
      <c r="E4" s="134" t="s">
        <v>175</v>
      </c>
    </row>
    <row r="5" spans="1:5" ht="15">
      <c r="A5" s="135" t="s">
        <v>228</v>
      </c>
      <c r="B5" s="136" t="s">
        <v>269</v>
      </c>
      <c r="C5" s="137" t="s">
        <v>230</v>
      </c>
      <c r="D5" s="46">
        <f>D6+D7+D10+D21+D22</f>
        <v>20168896.480172336</v>
      </c>
      <c r="E5" s="138">
        <f>E6+E7+E10+E21+E22</f>
        <v>57008001</v>
      </c>
    </row>
    <row r="6" spans="1:5" ht="16.5">
      <c r="A6" s="139"/>
      <c r="B6" s="59" t="s">
        <v>270</v>
      </c>
      <c r="C6" s="59"/>
      <c r="D6" s="48"/>
      <c r="E6" s="117"/>
    </row>
    <row r="7" spans="1:5" ht="16.5">
      <c r="A7" s="139"/>
      <c r="B7" s="140" t="s">
        <v>271</v>
      </c>
      <c r="C7" s="141"/>
      <c r="D7" s="48">
        <f>SUM(D8:D9)</f>
        <v>0</v>
      </c>
      <c r="E7" s="117">
        <f>+E9</f>
        <v>6250312</v>
      </c>
    </row>
    <row r="8" spans="1:5" ht="16.5">
      <c r="A8" s="139"/>
      <c r="B8" s="142" t="s">
        <v>272</v>
      </c>
      <c r="C8" s="59"/>
      <c r="D8" s="48"/>
      <c r="E8" s="117"/>
    </row>
    <row r="9" spans="1:5" ht="16.5">
      <c r="A9" s="139"/>
      <c r="B9" s="142" t="s">
        <v>273</v>
      </c>
      <c r="C9" s="59"/>
      <c r="D9" s="48">
        <f>+[1]bilanci!L33</f>
        <v>0</v>
      </c>
      <c r="E9" s="117">
        <v>6250312</v>
      </c>
    </row>
    <row r="10" spans="1:5" ht="15">
      <c r="A10" s="139"/>
      <c r="B10" s="59" t="s">
        <v>274</v>
      </c>
      <c r="C10" s="59"/>
      <c r="D10" s="50">
        <f>SUM(D11:D20)</f>
        <v>20168896.480172336</v>
      </c>
      <c r="E10" s="113">
        <f>SUM(E11:E20)</f>
        <v>50757689</v>
      </c>
    </row>
    <row r="11" spans="1:5" ht="16.5">
      <c r="A11" s="139"/>
      <c r="B11" s="142" t="s">
        <v>275</v>
      </c>
      <c r="C11" s="59"/>
      <c r="D11" s="48">
        <f>+[1]bilanci!L22</f>
        <v>17368746.971020043</v>
      </c>
      <c r="E11" s="117">
        <f>+[1]bilanci!H22</f>
        <v>49942736</v>
      </c>
    </row>
    <row r="12" spans="1:5" ht="16.5">
      <c r="A12" s="139"/>
      <c r="B12" s="142" t="s">
        <v>276</v>
      </c>
      <c r="C12" s="59"/>
      <c r="D12" s="48">
        <f>+[1]bilanci!L28</f>
        <v>472363.19524307549</v>
      </c>
      <c r="E12" s="117">
        <f>+[1]bilanci!H28</f>
        <v>578286</v>
      </c>
    </row>
    <row r="13" spans="1:5" ht="16.5">
      <c r="A13" s="139"/>
      <c r="B13" s="142" t="s">
        <v>277</v>
      </c>
      <c r="C13" s="59"/>
      <c r="D13" s="48">
        <f>+[1]bilanci!L29-D14</f>
        <v>362617.63082923042</v>
      </c>
      <c r="E13" s="117">
        <v>194835</v>
      </c>
    </row>
    <row r="14" spans="1:5" ht="16.5">
      <c r="A14" s="139"/>
      <c r="B14" s="142" t="s">
        <v>278</v>
      </c>
      <c r="C14" s="59"/>
      <c r="D14" s="48">
        <v>86115</v>
      </c>
      <c r="E14" s="117">
        <v>41832</v>
      </c>
    </row>
    <row r="15" spans="1:5" ht="16.5">
      <c r="A15" s="139"/>
      <c r="B15" s="142" t="s">
        <v>279</v>
      </c>
      <c r="C15" s="59"/>
      <c r="D15" s="48">
        <f>+[1]bilanci!L26</f>
        <v>0</v>
      </c>
      <c r="E15" s="117">
        <f>+[1]bilanci!H26</f>
        <v>0</v>
      </c>
    </row>
    <row r="16" spans="1:5" ht="16.5">
      <c r="A16" s="139"/>
      <c r="B16" s="142" t="s">
        <v>280</v>
      </c>
      <c r="C16" s="59"/>
      <c r="D16" s="48">
        <f>+[1]bilanci!L24</f>
        <v>1879053.6830799878</v>
      </c>
      <c r="E16" s="117">
        <f>+[1]bilanci!H24</f>
        <v>0</v>
      </c>
    </row>
    <row r="17" spans="1:5" ht="16.5">
      <c r="A17" s="139"/>
      <c r="B17" s="142" t="s">
        <v>281</v>
      </c>
      <c r="C17" s="59"/>
      <c r="D17" s="48"/>
      <c r="E17" s="117"/>
    </row>
    <row r="18" spans="1:5" ht="16.5">
      <c r="A18" s="139"/>
      <c r="B18" s="142" t="s">
        <v>240</v>
      </c>
      <c r="C18" s="59"/>
      <c r="D18" s="48"/>
      <c r="E18" s="117"/>
    </row>
    <row r="19" spans="1:5" ht="16.5">
      <c r="A19" s="139"/>
      <c r="B19" s="142" t="s">
        <v>282</v>
      </c>
      <c r="C19" s="59"/>
      <c r="D19" s="48"/>
      <c r="E19" s="117"/>
    </row>
    <row r="20" spans="1:5" ht="16.5">
      <c r="A20" s="139"/>
      <c r="B20" s="142" t="s">
        <v>283</v>
      </c>
      <c r="C20" s="59"/>
      <c r="D20" s="48">
        <v>0</v>
      </c>
      <c r="E20" s="117"/>
    </row>
    <row r="21" spans="1:5" ht="16.5">
      <c r="A21" s="139"/>
      <c r="B21" s="59" t="s">
        <v>284</v>
      </c>
      <c r="C21" s="59"/>
      <c r="D21" s="48"/>
      <c r="E21" s="117"/>
    </row>
    <row r="22" spans="1:5" ht="16.5">
      <c r="A22" s="139"/>
      <c r="B22" s="59" t="s">
        <v>285</v>
      </c>
      <c r="C22" s="59"/>
      <c r="D22" s="48"/>
      <c r="E22" s="117"/>
    </row>
    <row r="23" spans="1:5" ht="15">
      <c r="A23" s="135" t="s">
        <v>254</v>
      </c>
      <c r="B23" s="56" t="s">
        <v>286</v>
      </c>
      <c r="C23" s="59"/>
      <c r="D23" s="50">
        <f>+D24+D27+D28+D29</f>
        <v>70077455.200000003</v>
      </c>
      <c r="E23" s="113">
        <f>+E24+E27+E28+E29</f>
        <v>79207331</v>
      </c>
    </row>
    <row r="24" spans="1:5" ht="16.5">
      <c r="A24" s="139"/>
      <c r="B24" s="59" t="s">
        <v>287</v>
      </c>
      <c r="C24" s="59"/>
      <c r="D24" s="48"/>
      <c r="E24" s="117"/>
    </row>
    <row r="25" spans="1:5" ht="16.5">
      <c r="A25" s="139"/>
      <c r="B25" s="142" t="s">
        <v>288</v>
      </c>
      <c r="C25" s="59"/>
      <c r="D25" s="48"/>
      <c r="E25" s="117"/>
    </row>
    <row r="26" spans="1:5" ht="16.5">
      <c r="A26" s="139"/>
      <c r="B26" s="143" t="s">
        <v>289</v>
      </c>
      <c r="C26" s="141"/>
      <c r="D26" s="48"/>
      <c r="E26" s="117"/>
    </row>
    <row r="27" spans="1:5" ht="15">
      <c r="A27" s="139"/>
      <c r="B27" s="59" t="s">
        <v>290</v>
      </c>
      <c r="C27" s="59"/>
      <c r="D27" s="50">
        <f>+[1]bilanci!L11</f>
        <v>70077455.200000003</v>
      </c>
      <c r="E27" s="113">
        <f>+[1]bilanci!H11</f>
        <v>79207331</v>
      </c>
    </row>
    <row r="28" spans="1:5" ht="16.5">
      <c r="A28" s="139"/>
      <c r="B28" s="59" t="s">
        <v>291</v>
      </c>
      <c r="C28" s="59"/>
      <c r="D28" s="48"/>
      <c r="E28" s="117"/>
    </row>
    <row r="29" spans="1:5" ht="16.5">
      <c r="A29" s="139"/>
      <c r="B29" s="59" t="s">
        <v>292</v>
      </c>
      <c r="C29" s="59"/>
      <c r="D29" s="48"/>
      <c r="E29" s="117"/>
    </row>
    <row r="30" spans="1:5" ht="15">
      <c r="A30" s="139"/>
      <c r="B30" s="56" t="s">
        <v>293</v>
      </c>
      <c r="C30" s="59"/>
      <c r="D30" s="50">
        <f>D23+D5</f>
        <v>90246351.680172339</v>
      </c>
      <c r="E30" s="113">
        <f>E23+E5</f>
        <v>136215332</v>
      </c>
    </row>
    <row r="31" spans="1:5" ht="16.5">
      <c r="A31" s="135" t="s">
        <v>294</v>
      </c>
      <c r="B31" s="56" t="s">
        <v>295</v>
      </c>
      <c r="C31" s="59"/>
      <c r="D31" s="50">
        <f>SUM(D32:D41)</f>
        <v>176577806.70890591</v>
      </c>
      <c r="E31" s="117">
        <f>SUM(E32:E41)</f>
        <v>46858483</v>
      </c>
    </row>
    <row r="32" spans="1:5" ht="16.5">
      <c r="A32" s="139"/>
      <c r="B32" s="59" t="s">
        <v>296</v>
      </c>
      <c r="C32" s="59"/>
      <c r="D32" s="48"/>
      <c r="E32" s="117"/>
    </row>
    <row r="33" spans="1:5" ht="16.5">
      <c r="A33" s="139"/>
      <c r="B33" s="59" t="s">
        <v>297</v>
      </c>
      <c r="C33" s="59"/>
      <c r="D33" s="48"/>
      <c r="E33" s="117"/>
    </row>
    <row r="34" spans="1:5" ht="16.5">
      <c r="A34" s="139"/>
      <c r="B34" s="59" t="s">
        <v>298</v>
      </c>
      <c r="C34" s="59"/>
      <c r="D34" s="48">
        <f>+[1]bilanci!L5</f>
        <v>10500000</v>
      </c>
      <c r="E34" s="117">
        <f>+[1]bilanci!H5</f>
        <v>10500000</v>
      </c>
    </row>
    <row r="35" spans="1:5" ht="16.5">
      <c r="A35" s="139"/>
      <c r="B35" s="59" t="s">
        <v>299</v>
      </c>
      <c r="C35" s="59"/>
      <c r="D35" s="48"/>
      <c r="E35" s="113"/>
    </row>
    <row r="36" spans="1:5" ht="16.5">
      <c r="A36" s="139"/>
      <c r="B36" s="59" t="s">
        <v>300</v>
      </c>
      <c r="C36" s="59"/>
      <c r="D36" s="48"/>
      <c r="E36" s="117"/>
    </row>
    <row r="37" spans="1:5" ht="16.5">
      <c r="A37" s="139"/>
      <c r="B37" s="59" t="s">
        <v>301</v>
      </c>
      <c r="C37" s="59"/>
      <c r="D37" s="48">
        <f>+[1]bilanci!L7</f>
        <v>45064</v>
      </c>
      <c r="E37" s="117">
        <f>+[1]bilanci!H7</f>
        <v>45064</v>
      </c>
    </row>
    <row r="38" spans="1:5" ht="16.5">
      <c r="A38" s="139"/>
      <c r="B38" s="59" t="s">
        <v>302</v>
      </c>
      <c r="C38" s="59"/>
      <c r="D38" s="48">
        <f>+[1]bilanci!L6</f>
        <v>2560060</v>
      </c>
      <c r="E38" s="117">
        <f>+[1]bilanci!H6</f>
        <v>2560060</v>
      </c>
    </row>
    <row r="39" spans="1:5" ht="16.5">
      <c r="A39" s="139"/>
      <c r="B39" s="59" t="s">
        <v>303</v>
      </c>
      <c r="C39" s="59"/>
      <c r="D39" s="48">
        <f>+[1]bilanci!L8</f>
        <v>33753359</v>
      </c>
      <c r="E39" s="117">
        <f>+[1]bilanci!H8</f>
        <v>33661501</v>
      </c>
    </row>
    <row r="40" spans="1:5" ht="16.5">
      <c r="A40" s="139"/>
      <c r="B40" s="59" t="s">
        <v>304</v>
      </c>
      <c r="C40" s="59"/>
      <c r="D40" s="48"/>
      <c r="E40" s="117"/>
    </row>
    <row r="41" spans="1:5" ht="16.5">
      <c r="A41" s="139"/>
      <c r="B41" s="59" t="s">
        <v>305</v>
      </c>
      <c r="C41" s="59"/>
      <c r="D41" s="48">
        <f>+[1]bilanci!L9</f>
        <v>129719323.70890591</v>
      </c>
      <c r="E41" s="117">
        <f>+[1]bilanci!H9</f>
        <v>91858</v>
      </c>
    </row>
    <row r="42" spans="1:5" ht="15">
      <c r="A42" s="139"/>
      <c r="B42" s="59" t="s">
        <v>306</v>
      </c>
      <c r="C42" s="59"/>
      <c r="D42" s="50">
        <f>D5+D23+D31</f>
        <v>266824158.38907826</v>
      </c>
      <c r="E42" s="113">
        <f>E5+E23+E31</f>
        <v>183073815</v>
      </c>
    </row>
    <row r="43" spans="1:5" ht="17.25" thickBot="1">
      <c r="A43" s="144"/>
      <c r="B43" s="145"/>
      <c r="C43" s="145"/>
      <c r="D43" s="145"/>
      <c r="E43" s="146"/>
    </row>
    <row r="44" spans="1:5" s="38" customFormat="1" ht="15">
      <c r="A44" s="41"/>
      <c r="B44" s="41"/>
      <c r="C44" s="41"/>
      <c r="D44" s="41"/>
      <c r="E44" s="41"/>
    </row>
    <row r="45" spans="1:5" s="38" customFormat="1" ht="16.5">
      <c r="A45" s="41"/>
      <c r="B45" s="41"/>
      <c r="C45" s="41"/>
      <c r="D45" s="147"/>
      <c r="E45" s="62"/>
    </row>
    <row r="46" spans="1:5" s="38" customFormat="1" ht="16.5">
      <c r="A46" s="41"/>
      <c r="B46" s="41"/>
      <c r="C46" s="41"/>
      <c r="D46" s="41"/>
      <c r="E46" s="62"/>
    </row>
    <row r="47" spans="1:5" s="38" customFormat="1" ht="16.5">
      <c r="A47" s="41"/>
      <c r="B47" s="40"/>
      <c r="C47" s="40"/>
      <c r="D47" s="62"/>
      <c r="E47" s="63"/>
    </row>
    <row r="48" spans="1:5" s="38" customFormat="1" ht="16.5">
      <c r="A48" s="41"/>
      <c r="B48" s="41"/>
      <c r="C48" s="41"/>
      <c r="D48" s="62"/>
      <c r="E48" s="62"/>
    </row>
    <row r="49" spans="1:5" s="38" customFormat="1" ht="16.5">
      <c r="A49" s="41"/>
      <c r="B49" s="41"/>
      <c r="C49" s="41"/>
      <c r="D49" s="62"/>
      <c r="E49" s="62"/>
    </row>
    <row r="50" spans="1:5" s="38" customFormat="1" ht="16.5">
      <c r="A50" s="41"/>
      <c r="B50" s="41"/>
      <c r="C50" s="41"/>
      <c r="D50" s="62"/>
      <c r="E50" s="62"/>
    </row>
    <row r="51" spans="1:5" s="38" customFormat="1" ht="16.5">
      <c r="A51" s="41"/>
      <c r="B51" s="41"/>
      <c r="C51" s="41"/>
      <c r="D51" s="62"/>
      <c r="E51" s="62"/>
    </row>
    <row r="52" spans="1:5" s="38" customFormat="1" ht="16.5">
      <c r="A52" s="41"/>
      <c r="B52" s="41"/>
      <c r="C52" s="41"/>
      <c r="D52" s="62"/>
      <c r="E52" s="62"/>
    </row>
    <row r="53" spans="1:5" s="38" customFormat="1" ht="16.5">
      <c r="A53" s="148"/>
      <c r="B53" s="148"/>
      <c r="C53" s="148"/>
      <c r="D53" s="62"/>
      <c r="E53" s="62"/>
    </row>
    <row r="54" spans="1:5" s="38" customFormat="1" ht="16.5">
      <c r="A54" s="148"/>
      <c r="B54" s="148"/>
      <c r="C54" s="148"/>
      <c r="D54" s="62"/>
      <c r="E54" s="62"/>
    </row>
    <row r="55" spans="1:5" ht="16.5">
      <c r="A55" s="149"/>
      <c r="B55" s="149"/>
      <c r="C55" s="149"/>
      <c r="D55" s="149"/>
      <c r="E55" s="149"/>
    </row>
  </sheetData>
  <mergeCells count="4">
    <mergeCell ref="A1:E1"/>
    <mergeCell ref="A3:A4"/>
    <mergeCell ref="B3:B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topLeftCell="A19" workbookViewId="0">
      <selection activeCell="D34" sqref="D34"/>
    </sheetView>
  </sheetViews>
  <sheetFormatPr defaultRowHeight="12.75"/>
  <cols>
    <col min="1" max="1" width="7.85546875" style="39" customWidth="1"/>
    <col min="2" max="2" width="63.28515625" style="39" customWidth="1"/>
    <col min="3" max="3" width="15.5703125" style="39" customWidth="1"/>
    <col min="4" max="4" width="15.28515625" style="39" customWidth="1"/>
    <col min="5" max="5" width="9.140625" style="39"/>
    <col min="6" max="6" width="13" style="39" bestFit="1" customWidth="1"/>
    <col min="7" max="7" width="9.140625" style="39"/>
    <col min="8" max="8" width="10.7109375" style="39" bestFit="1" customWidth="1"/>
    <col min="9" max="256" width="9.140625" style="39"/>
    <col min="257" max="257" width="7.85546875" style="39" customWidth="1"/>
    <col min="258" max="258" width="63.28515625" style="39" customWidth="1"/>
    <col min="259" max="259" width="15.5703125" style="39" customWidth="1"/>
    <col min="260" max="260" width="15.28515625" style="39" customWidth="1"/>
    <col min="261" max="261" width="9.140625" style="39"/>
    <col min="262" max="262" width="13" style="39" bestFit="1" customWidth="1"/>
    <col min="263" max="263" width="9.140625" style="39"/>
    <col min="264" max="264" width="10.7109375" style="39" bestFit="1" customWidth="1"/>
    <col min="265" max="512" width="9.140625" style="39"/>
    <col min="513" max="513" width="7.85546875" style="39" customWidth="1"/>
    <col min="514" max="514" width="63.28515625" style="39" customWidth="1"/>
    <col min="515" max="515" width="15.5703125" style="39" customWidth="1"/>
    <col min="516" max="516" width="15.28515625" style="39" customWidth="1"/>
    <col min="517" max="517" width="9.140625" style="39"/>
    <col min="518" max="518" width="13" style="39" bestFit="1" customWidth="1"/>
    <col min="519" max="519" width="9.140625" style="39"/>
    <col min="520" max="520" width="10.7109375" style="39" bestFit="1" customWidth="1"/>
    <col min="521" max="768" width="9.140625" style="39"/>
    <col min="769" max="769" width="7.85546875" style="39" customWidth="1"/>
    <col min="770" max="770" width="63.28515625" style="39" customWidth="1"/>
    <col min="771" max="771" width="15.5703125" style="39" customWidth="1"/>
    <col min="772" max="772" width="15.28515625" style="39" customWidth="1"/>
    <col min="773" max="773" width="9.140625" style="39"/>
    <col min="774" max="774" width="13" style="39" bestFit="1" customWidth="1"/>
    <col min="775" max="775" width="9.140625" style="39"/>
    <col min="776" max="776" width="10.7109375" style="39" bestFit="1" customWidth="1"/>
    <col min="777" max="1024" width="9.140625" style="39"/>
    <col min="1025" max="1025" width="7.85546875" style="39" customWidth="1"/>
    <col min="1026" max="1026" width="63.28515625" style="39" customWidth="1"/>
    <col min="1027" max="1027" width="15.5703125" style="39" customWidth="1"/>
    <col min="1028" max="1028" width="15.28515625" style="39" customWidth="1"/>
    <col min="1029" max="1029" width="9.140625" style="39"/>
    <col min="1030" max="1030" width="13" style="39" bestFit="1" customWidth="1"/>
    <col min="1031" max="1031" width="9.140625" style="39"/>
    <col min="1032" max="1032" width="10.7109375" style="39" bestFit="1" customWidth="1"/>
    <col min="1033" max="1280" width="9.140625" style="39"/>
    <col min="1281" max="1281" width="7.85546875" style="39" customWidth="1"/>
    <col min="1282" max="1282" width="63.28515625" style="39" customWidth="1"/>
    <col min="1283" max="1283" width="15.5703125" style="39" customWidth="1"/>
    <col min="1284" max="1284" width="15.28515625" style="39" customWidth="1"/>
    <col min="1285" max="1285" width="9.140625" style="39"/>
    <col min="1286" max="1286" width="13" style="39" bestFit="1" customWidth="1"/>
    <col min="1287" max="1287" width="9.140625" style="39"/>
    <col min="1288" max="1288" width="10.7109375" style="39" bestFit="1" customWidth="1"/>
    <col min="1289" max="1536" width="9.140625" style="39"/>
    <col min="1537" max="1537" width="7.85546875" style="39" customWidth="1"/>
    <col min="1538" max="1538" width="63.28515625" style="39" customWidth="1"/>
    <col min="1539" max="1539" width="15.5703125" style="39" customWidth="1"/>
    <col min="1540" max="1540" width="15.28515625" style="39" customWidth="1"/>
    <col min="1541" max="1541" width="9.140625" style="39"/>
    <col min="1542" max="1542" width="13" style="39" bestFit="1" customWidth="1"/>
    <col min="1543" max="1543" width="9.140625" style="39"/>
    <col min="1544" max="1544" width="10.7109375" style="39" bestFit="1" customWidth="1"/>
    <col min="1545" max="1792" width="9.140625" style="39"/>
    <col min="1793" max="1793" width="7.85546875" style="39" customWidth="1"/>
    <col min="1794" max="1794" width="63.28515625" style="39" customWidth="1"/>
    <col min="1795" max="1795" width="15.5703125" style="39" customWidth="1"/>
    <col min="1796" max="1796" width="15.28515625" style="39" customWidth="1"/>
    <col min="1797" max="1797" width="9.140625" style="39"/>
    <col min="1798" max="1798" width="13" style="39" bestFit="1" customWidth="1"/>
    <col min="1799" max="1799" width="9.140625" style="39"/>
    <col min="1800" max="1800" width="10.7109375" style="39" bestFit="1" customWidth="1"/>
    <col min="1801" max="2048" width="9.140625" style="39"/>
    <col min="2049" max="2049" width="7.85546875" style="39" customWidth="1"/>
    <col min="2050" max="2050" width="63.28515625" style="39" customWidth="1"/>
    <col min="2051" max="2051" width="15.5703125" style="39" customWidth="1"/>
    <col min="2052" max="2052" width="15.28515625" style="39" customWidth="1"/>
    <col min="2053" max="2053" width="9.140625" style="39"/>
    <col min="2054" max="2054" width="13" style="39" bestFit="1" customWidth="1"/>
    <col min="2055" max="2055" width="9.140625" style="39"/>
    <col min="2056" max="2056" width="10.7109375" style="39" bestFit="1" customWidth="1"/>
    <col min="2057" max="2304" width="9.140625" style="39"/>
    <col min="2305" max="2305" width="7.85546875" style="39" customWidth="1"/>
    <col min="2306" max="2306" width="63.28515625" style="39" customWidth="1"/>
    <col min="2307" max="2307" width="15.5703125" style="39" customWidth="1"/>
    <col min="2308" max="2308" width="15.28515625" style="39" customWidth="1"/>
    <col min="2309" max="2309" width="9.140625" style="39"/>
    <col min="2310" max="2310" width="13" style="39" bestFit="1" customWidth="1"/>
    <col min="2311" max="2311" width="9.140625" style="39"/>
    <col min="2312" max="2312" width="10.7109375" style="39" bestFit="1" customWidth="1"/>
    <col min="2313" max="2560" width="9.140625" style="39"/>
    <col min="2561" max="2561" width="7.85546875" style="39" customWidth="1"/>
    <col min="2562" max="2562" width="63.28515625" style="39" customWidth="1"/>
    <col min="2563" max="2563" width="15.5703125" style="39" customWidth="1"/>
    <col min="2564" max="2564" width="15.28515625" style="39" customWidth="1"/>
    <col min="2565" max="2565" width="9.140625" style="39"/>
    <col min="2566" max="2566" width="13" style="39" bestFit="1" customWidth="1"/>
    <col min="2567" max="2567" width="9.140625" style="39"/>
    <col min="2568" max="2568" width="10.7109375" style="39" bestFit="1" customWidth="1"/>
    <col min="2569" max="2816" width="9.140625" style="39"/>
    <col min="2817" max="2817" width="7.85546875" style="39" customWidth="1"/>
    <col min="2818" max="2818" width="63.28515625" style="39" customWidth="1"/>
    <col min="2819" max="2819" width="15.5703125" style="39" customWidth="1"/>
    <col min="2820" max="2820" width="15.28515625" style="39" customWidth="1"/>
    <col min="2821" max="2821" width="9.140625" style="39"/>
    <col min="2822" max="2822" width="13" style="39" bestFit="1" customWidth="1"/>
    <col min="2823" max="2823" width="9.140625" style="39"/>
    <col min="2824" max="2824" width="10.7109375" style="39" bestFit="1" customWidth="1"/>
    <col min="2825" max="3072" width="9.140625" style="39"/>
    <col min="3073" max="3073" width="7.85546875" style="39" customWidth="1"/>
    <col min="3074" max="3074" width="63.28515625" style="39" customWidth="1"/>
    <col min="3075" max="3075" width="15.5703125" style="39" customWidth="1"/>
    <col min="3076" max="3076" width="15.28515625" style="39" customWidth="1"/>
    <col min="3077" max="3077" width="9.140625" style="39"/>
    <col min="3078" max="3078" width="13" style="39" bestFit="1" customWidth="1"/>
    <col min="3079" max="3079" width="9.140625" style="39"/>
    <col min="3080" max="3080" width="10.7109375" style="39" bestFit="1" customWidth="1"/>
    <col min="3081" max="3328" width="9.140625" style="39"/>
    <col min="3329" max="3329" width="7.85546875" style="39" customWidth="1"/>
    <col min="3330" max="3330" width="63.28515625" style="39" customWidth="1"/>
    <col min="3331" max="3331" width="15.5703125" style="39" customWidth="1"/>
    <col min="3332" max="3332" width="15.28515625" style="39" customWidth="1"/>
    <col min="3333" max="3333" width="9.140625" style="39"/>
    <col min="3334" max="3334" width="13" style="39" bestFit="1" customWidth="1"/>
    <col min="3335" max="3335" width="9.140625" style="39"/>
    <col min="3336" max="3336" width="10.7109375" style="39" bestFit="1" customWidth="1"/>
    <col min="3337" max="3584" width="9.140625" style="39"/>
    <col min="3585" max="3585" width="7.85546875" style="39" customWidth="1"/>
    <col min="3586" max="3586" width="63.28515625" style="39" customWidth="1"/>
    <col min="3587" max="3587" width="15.5703125" style="39" customWidth="1"/>
    <col min="3588" max="3588" width="15.28515625" style="39" customWidth="1"/>
    <col min="3589" max="3589" width="9.140625" style="39"/>
    <col min="3590" max="3590" width="13" style="39" bestFit="1" customWidth="1"/>
    <col min="3591" max="3591" width="9.140625" style="39"/>
    <col min="3592" max="3592" width="10.7109375" style="39" bestFit="1" customWidth="1"/>
    <col min="3593" max="3840" width="9.140625" style="39"/>
    <col min="3841" max="3841" width="7.85546875" style="39" customWidth="1"/>
    <col min="3842" max="3842" width="63.28515625" style="39" customWidth="1"/>
    <col min="3843" max="3843" width="15.5703125" style="39" customWidth="1"/>
    <col min="3844" max="3844" width="15.28515625" style="39" customWidth="1"/>
    <col min="3845" max="3845" width="9.140625" style="39"/>
    <col min="3846" max="3846" width="13" style="39" bestFit="1" customWidth="1"/>
    <col min="3847" max="3847" width="9.140625" style="39"/>
    <col min="3848" max="3848" width="10.7109375" style="39" bestFit="1" customWidth="1"/>
    <col min="3849" max="4096" width="9.140625" style="39"/>
    <col min="4097" max="4097" width="7.85546875" style="39" customWidth="1"/>
    <col min="4098" max="4098" width="63.28515625" style="39" customWidth="1"/>
    <col min="4099" max="4099" width="15.5703125" style="39" customWidth="1"/>
    <col min="4100" max="4100" width="15.28515625" style="39" customWidth="1"/>
    <col min="4101" max="4101" width="9.140625" style="39"/>
    <col min="4102" max="4102" width="13" style="39" bestFit="1" customWidth="1"/>
    <col min="4103" max="4103" width="9.140625" style="39"/>
    <col min="4104" max="4104" width="10.7109375" style="39" bestFit="1" customWidth="1"/>
    <col min="4105" max="4352" width="9.140625" style="39"/>
    <col min="4353" max="4353" width="7.85546875" style="39" customWidth="1"/>
    <col min="4354" max="4354" width="63.28515625" style="39" customWidth="1"/>
    <col min="4355" max="4355" width="15.5703125" style="39" customWidth="1"/>
    <col min="4356" max="4356" width="15.28515625" style="39" customWidth="1"/>
    <col min="4357" max="4357" width="9.140625" style="39"/>
    <col min="4358" max="4358" width="13" style="39" bestFit="1" customWidth="1"/>
    <col min="4359" max="4359" width="9.140625" style="39"/>
    <col min="4360" max="4360" width="10.7109375" style="39" bestFit="1" customWidth="1"/>
    <col min="4361" max="4608" width="9.140625" style="39"/>
    <col min="4609" max="4609" width="7.85546875" style="39" customWidth="1"/>
    <col min="4610" max="4610" width="63.28515625" style="39" customWidth="1"/>
    <col min="4611" max="4611" width="15.5703125" style="39" customWidth="1"/>
    <col min="4612" max="4612" width="15.28515625" style="39" customWidth="1"/>
    <col min="4613" max="4613" width="9.140625" style="39"/>
    <col min="4614" max="4614" width="13" style="39" bestFit="1" customWidth="1"/>
    <col min="4615" max="4615" width="9.140625" style="39"/>
    <col min="4616" max="4616" width="10.7109375" style="39" bestFit="1" customWidth="1"/>
    <col min="4617" max="4864" width="9.140625" style="39"/>
    <col min="4865" max="4865" width="7.85546875" style="39" customWidth="1"/>
    <col min="4866" max="4866" width="63.28515625" style="39" customWidth="1"/>
    <col min="4867" max="4867" width="15.5703125" style="39" customWidth="1"/>
    <col min="4868" max="4868" width="15.28515625" style="39" customWidth="1"/>
    <col min="4869" max="4869" width="9.140625" style="39"/>
    <col min="4870" max="4870" width="13" style="39" bestFit="1" customWidth="1"/>
    <col min="4871" max="4871" width="9.140625" style="39"/>
    <col min="4872" max="4872" width="10.7109375" style="39" bestFit="1" customWidth="1"/>
    <col min="4873" max="5120" width="9.140625" style="39"/>
    <col min="5121" max="5121" width="7.85546875" style="39" customWidth="1"/>
    <col min="5122" max="5122" width="63.28515625" style="39" customWidth="1"/>
    <col min="5123" max="5123" width="15.5703125" style="39" customWidth="1"/>
    <col min="5124" max="5124" width="15.28515625" style="39" customWidth="1"/>
    <col min="5125" max="5125" width="9.140625" style="39"/>
    <col min="5126" max="5126" width="13" style="39" bestFit="1" customWidth="1"/>
    <col min="5127" max="5127" width="9.140625" style="39"/>
    <col min="5128" max="5128" width="10.7109375" style="39" bestFit="1" customWidth="1"/>
    <col min="5129" max="5376" width="9.140625" style="39"/>
    <col min="5377" max="5377" width="7.85546875" style="39" customWidth="1"/>
    <col min="5378" max="5378" width="63.28515625" style="39" customWidth="1"/>
    <col min="5379" max="5379" width="15.5703125" style="39" customWidth="1"/>
    <col min="5380" max="5380" width="15.28515625" style="39" customWidth="1"/>
    <col min="5381" max="5381" width="9.140625" style="39"/>
    <col min="5382" max="5382" width="13" style="39" bestFit="1" customWidth="1"/>
    <col min="5383" max="5383" width="9.140625" style="39"/>
    <col min="5384" max="5384" width="10.7109375" style="39" bestFit="1" customWidth="1"/>
    <col min="5385" max="5632" width="9.140625" style="39"/>
    <col min="5633" max="5633" width="7.85546875" style="39" customWidth="1"/>
    <col min="5634" max="5634" width="63.28515625" style="39" customWidth="1"/>
    <col min="5635" max="5635" width="15.5703125" style="39" customWidth="1"/>
    <col min="5636" max="5636" width="15.28515625" style="39" customWidth="1"/>
    <col min="5637" max="5637" width="9.140625" style="39"/>
    <col min="5638" max="5638" width="13" style="39" bestFit="1" customWidth="1"/>
    <col min="5639" max="5639" width="9.140625" style="39"/>
    <col min="5640" max="5640" width="10.7109375" style="39" bestFit="1" customWidth="1"/>
    <col min="5641" max="5888" width="9.140625" style="39"/>
    <col min="5889" max="5889" width="7.85546875" style="39" customWidth="1"/>
    <col min="5890" max="5890" width="63.28515625" style="39" customWidth="1"/>
    <col min="5891" max="5891" width="15.5703125" style="39" customWidth="1"/>
    <col min="5892" max="5892" width="15.28515625" style="39" customWidth="1"/>
    <col min="5893" max="5893" width="9.140625" style="39"/>
    <col min="5894" max="5894" width="13" style="39" bestFit="1" customWidth="1"/>
    <col min="5895" max="5895" width="9.140625" style="39"/>
    <col min="5896" max="5896" width="10.7109375" style="39" bestFit="1" customWidth="1"/>
    <col min="5897" max="6144" width="9.140625" style="39"/>
    <col min="6145" max="6145" width="7.85546875" style="39" customWidth="1"/>
    <col min="6146" max="6146" width="63.28515625" style="39" customWidth="1"/>
    <col min="6147" max="6147" width="15.5703125" style="39" customWidth="1"/>
    <col min="6148" max="6148" width="15.28515625" style="39" customWidth="1"/>
    <col min="6149" max="6149" width="9.140625" style="39"/>
    <col min="6150" max="6150" width="13" style="39" bestFit="1" customWidth="1"/>
    <col min="6151" max="6151" width="9.140625" style="39"/>
    <col min="6152" max="6152" width="10.7109375" style="39" bestFit="1" customWidth="1"/>
    <col min="6153" max="6400" width="9.140625" style="39"/>
    <col min="6401" max="6401" width="7.85546875" style="39" customWidth="1"/>
    <col min="6402" max="6402" width="63.28515625" style="39" customWidth="1"/>
    <col min="6403" max="6403" width="15.5703125" style="39" customWidth="1"/>
    <col min="6404" max="6404" width="15.28515625" style="39" customWidth="1"/>
    <col min="6405" max="6405" width="9.140625" style="39"/>
    <col min="6406" max="6406" width="13" style="39" bestFit="1" customWidth="1"/>
    <col min="6407" max="6407" width="9.140625" style="39"/>
    <col min="6408" max="6408" width="10.7109375" style="39" bestFit="1" customWidth="1"/>
    <col min="6409" max="6656" width="9.140625" style="39"/>
    <col min="6657" max="6657" width="7.85546875" style="39" customWidth="1"/>
    <col min="6658" max="6658" width="63.28515625" style="39" customWidth="1"/>
    <col min="6659" max="6659" width="15.5703125" style="39" customWidth="1"/>
    <col min="6660" max="6660" width="15.28515625" style="39" customWidth="1"/>
    <col min="6661" max="6661" width="9.140625" style="39"/>
    <col min="6662" max="6662" width="13" style="39" bestFit="1" customWidth="1"/>
    <col min="6663" max="6663" width="9.140625" style="39"/>
    <col min="6664" max="6664" width="10.7109375" style="39" bestFit="1" customWidth="1"/>
    <col min="6665" max="6912" width="9.140625" style="39"/>
    <col min="6913" max="6913" width="7.85546875" style="39" customWidth="1"/>
    <col min="6914" max="6914" width="63.28515625" style="39" customWidth="1"/>
    <col min="6915" max="6915" width="15.5703125" style="39" customWidth="1"/>
    <col min="6916" max="6916" width="15.28515625" style="39" customWidth="1"/>
    <col min="6917" max="6917" width="9.140625" style="39"/>
    <col min="6918" max="6918" width="13" style="39" bestFit="1" customWidth="1"/>
    <col min="6919" max="6919" width="9.140625" style="39"/>
    <col min="6920" max="6920" width="10.7109375" style="39" bestFit="1" customWidth="1"/>
    <col min="6921" max="7168" width="9.140625" style="39"/>
    <col min="7169" max="7169" width="7.85546875" style="39" customWidth="1"/>
    <col min="7170" max="7170" width="63.28515625" style="39" customWidth="1"/>
    <col min="7171" max="7171" width="15.5703125" style="39" customWidth="1"/>
    <col min="7172" max="7172" width="15.28515625" style="39" customWidth="1"/>
    <col min="7173" max="7173" width="9.140625" style="39"/>
    <col min="7174" max="7174" width="13" style="39" bestFit="1" customWidth="1"/>
    <col min="7175" max="7175" width="9.140625" style="39"/>
    <col min="7176" max="7176" width="10.7109375" style="39" bestFit="1" customWidth="1"/>
    <col min="7177" max="7424" width="9.140625" style="39"/>
    <col min="7425" max="7425" width="7.85546875" style="39" customWidth="1"/>
    <col min="7426" max="7426" width="63.28515625" style="39" customWidth="1"/>
    <col min="7427" max="7427" width="15.5703125" style="39" customWidth="1"/>
    <col min="7428" max="7428" width="15.28515625" style="39" customWidth="1"/>
    <col min="7429" max="7429" width="9.140625" style="39"/>
    <col min="7430" max="7430" width="13" style="39" bestFit="1" customWidth="1"/>
    <col min="7431" max="7431" width="9.140625" style="39"/>
    <col min="7432" max="7432" width="10.7109375" style="39" bestFit="1" customWidth="1"/>
    <col min="7433" max="7680" width="9.140625" style="39"/>
    <col min="7681" max="7681" width="7.85546875" style="39" customWidth="1"/>
    <col min="7682" max="7682" width="63.28515625" style="39" customWidth="1"/>
    <col min="7683" max="7683" width="15.5703125" style="39" customWidth="1"/>
    <col min="7684" max="7684" width="15.28515625" style="39" customWidth="1"/>
    <col min="7685" max="7685" width="9.140625" style="39"/>
    <col min="7686" max="7686" width="13" style="39" bestFit="1" customWidth="1"/>
    <col min="7687" max="7687" width="9.140625" style="39"/>
    <col min="7688" max="7688" width="10.7109375" style="39" bestFit="1" customWidth="1"/>
    <col min="7689" max="7936" width="9.140625" style="39"/>
    <col min="7937" max="7937" width="7.85546875" style="39" customWidth="1"/>
    <col min="7938" max="7938" width="63.28515625" style="39" customWidth="1"/>
    <col min="7939" max="7939" width="15.5703125" style="39" customWidth="1"/>
    <col min="7940" max="7940" width="15.28515625" style="39" customWidth="1"/>
    <col min="7941" max="7941" width="9.140625" style="39"/>
    <col min="7942" max="7942" width="13" style="39" bestFit="1" customWidth="1"/>
    <col min="7943" max="7943" width="9.140625" style="39"/>
    <col min="7944" max="7944" width="10.7109375" style="39" bestFit="1" customWidth="1"/>
    <col min="7945" max="8192" width="9.140625" style="39"/>
    <col min="8193" max="8193" width="7.85546875" style="39" customWidth="1"/>
    <col min="8194" max="8194" width="63.28515625" style="39" customWidth="1"/>
    <col min="8195" max="8195" width="15.5703125" style="39" customWidth="1"/>
    <col min="8196" max="8196" width="15.28515625" style="39" customWidth="1"/>
    <col min="8197" max="8197" width="9.140625" style="39"/>
    <col min="8198" max="8198" width="13" style="39" bestFit="1" customWidth="1"/>
    <col min="8199" max="8199" width="9.140625" style="39"/>
    <col min="8200" max="8200" width="10.7109375" style="39" bestFit="1" customWidth="1"/>
    <col min="8201" max="8448" width="9.140625" style="39"/>
    <col min="8449" max="8449" width="7.85546875" style="39" customWidth="1"/>
    <col min="8450" max="8450" width="63.28515625" style="39" customWidth="1"/>
    <col min="8451" max="8451" width="15.5703125" style="39" customWidth="1"/>
    <col min="8452" max="8452" width="15.28515625" style="39" customWidth="1"/>
    <col min="8453" max="8453" width="9.140625" style="39"/>
    <col min="8454" max="8454" width="13" style="39" bestFit="1" customWidth="1"/>
    <col min="8455" max="8455" width="9.140625" style="39"/>
    <col min="8456" max="8456" width="10.7109375" style="39" bestFit="1" customWidth="1"/>
    <col min="8457" max="8704" width="9.140625" style="39"/>
    <col min="8705" max="8705" width="7.85546875" style="39" customWidth="1"/>
    <col min="8706" max="8706" width="63.28515625" style="39" customWidth="1"/>
    <col min="8707" max="8707" width="15.5703125" style="39" customWidth="1"/>
    <col min="8708" max="8708" width="15.28515625" style="39" customWidth="1"/>
    <col min="8709" max="8709" width="9.140625" style="39"/>
    <col min="8710" max="8710" width="13" style="39" bestFit="1" customWidth="1"/>
    <col min="8711" max="8711" width="9.140625" style="39"/>
    <col min="8712" max="8712" width="10.7109375" style="39" bestFit="1" customWidth="1"/>
    <col min="8713" max="8960" width="9.140625" style="39"/>
    <col min="8961" max="8961" width="7.85546875" style="39" customWidth="1"/>
    <col min="8962" max="8962" width="63.28515625" style="39" customWidth="1"/>
    <col min="8963" max="8963" width="15.5703125" style="39" customWidth="1"/>
    <col min="8964" max="8964" width="15.28515625" style="39" customWidth="1"/>
    <col min="8965" max="8965" width="9.140625" style="39"/>
    <col min="8966" max="8966" width="13" style="39" bestFit="1" customWidth="1"/>
    <col min="8967" max="8967" width="9.140625" style="39"/>
    <col min="8968" max="8968" width="10.7109375" style="39" bestFit="1" customWidth="1"/>
    <col min="8969" max="9216" width="9.140625" style="39"/>
    <col min="9217" max="9217" width="7.85546875" style="39" customWidth="1"/>
    <col min="9218" max="9218" width="63.28515625" style="39" customWidth="1"/>
    <col min="9219" max="9219" width="15.5703125" style="39" customWidth="1"/>
    <col min="9220" max="9220" width="15.28515625" style="39" customWidth="1"/>
    <col min="9221" max="9221" width="9.140625" style="39"/>
    <col min="9222" max="9222" width="13" style="39" bestFit="1" customWidth="1"/>
    <col min="9223" max="9223" width="9.140625" style="39"/>
    <col min="9224" max="9224" width="10.7109375" style="39" bestFit="1" customWidth="1"/>
    <col min="9225" max="9472" width="9.140625" style="39"/>
    <col min="9473" max="9473" width="7.85546875" style="39" customWidth="1"/>
    <col min="9474" max="9474" width="63.28515625" style="39" customWidth="1"/>
    <col min="9475" max="9475" width="15.5703125" style="39" customWidth="1"/>
    <col min="9476" max="9476" width="15.28515625" style="39" customWidth="1"/>
    <col min="9477" max="9477" width="9.140625" style="39"/>
    <col min="9478" max="9478" width="13" style="39" bestFit="1" customWidth="1"/>
    <col min="9479" max="9479" width="9.140625" style="39"/>
    <col min="9480" max="9480" width="10.7109375" style="39" bestFit="1" customWidth="1"/>
    <col min="9481" max="9728" width="9.140625" style="39"/>
    <col min="9729" max="9729" width="7.85546875" style="39" customWidth="1"/>
    <col min="9730" max="9730" width="63.28515625" style="39" customWidth="1"/>
    <col min="9731" max="9731" width="15.5703125" style="39" customWidth="1"/>
    <col min="9732" max="9732" width="15.28515625" style="39" customWidth="1"/>
    <col min="9733" max="9733" width="9.140625" style="39"/>
    <col min="9734" max="9734" width="13" style="39" bestFit="1" customWidth="1"/>
    <col min="9735" max="9735" width="9.140625" style="39"/>
    <col min="9736" max="9736" width="10.7109375" style="39" bestFit="1" customWidth="1"/>
    <col min="9737" max="9984" width="9.140625" style="39"/>
    <col min="9985" max="9985" width="7.85546875" style="39" customWidth="1"/>
    <col min="9986" max="9986" width="63.28515625" style="39" customWidth="1"/>
    <col min="9987" max="9987" width="15.5703125" style="39" customWidth="1"/>
    <col min="9988" max="9988" width="15.28515625" style="39" customWidth="1"/>
    <col min="9989" max="9989" width="9.140625" style="39"/>
    <col min="9990" max="9990" width="13" style="39" bestFit="1" customWidth="1"/>
    <col min="9991" max="9991" width="9.140625" style="39"/>
    <col min="9992" max="9992" width="10.7109375" style="39" bestFit="1" customWidth="1"/>
    <col min="9993" max="10240" width="9.140625" style="39"/>
    <col min="10241" max="10241" width="7.85546875" style="39" customWidth="1"/>
    <col min="10242" max="10242" width="63.28515625" style="39" customWidth="1"/>
    <col min="10243" max="10243" width="15.5703125" style="39" customWidth="1"/>
    <col min="10244" max="10244" width="15.28515625" style="39" customWidth="1"/>
    <col min="10245" max="10245" width="9.140625" style="39"/>
    <col min="10246" max="10246" width="13" style="39" bestFit="1" customWidth="1"/>
    <col min="10247" max="10247" width="9.140625" style="39"/>
    <col min="10248" max="10248" width="10.7109375" style="39" bestFit="1" customWidth="1"/>
    <col min="10249" max="10496" width="9.140625" style="39"/>
    <col min="10497" max="10497" width="7.85546875" style="39" customWidth="1"/>
    <col min="10498" max="10498" width="63.28515625" style="39" customWidth="1"/>
    <col min="10499" max="10499" width="15.5703125" style="39" customWidth="1"/>
    <col min="10500" max="10500" width="15.28515625" style="39" customWidth="1"/>
    <col min="10501" max="10501" width="9.140625" style="39"/>
    <col min="10502" max="10502" width="13" style="39" bestFit="1" customWidth="1"/>
    <col min="10503" max="10503" width="9.140625" style="39"/>
    <col min="10504" max="10504" width="10.7109375" style="39" bestFit="1" customWidth="1"/>
    <col min="10505" max="10752" width="9.140625" style="39"/>
    <col min="10753" max="10753" width="7.85546875" style="39" customWidth="1"/>
    <col min="10754" max="10754" width="63.28515625" style="39" customWidth="1"/>
    <col min="10755" max="10755" width="15.5703125" style="39" customWidth="1"/>
    <col min="10756" max="10756" width="15.28515625" style="39" customWidth="1"/>
    <col min="10757" max="10757" width="9.140625" style="39"/>
    <col min="10758" max="10758" width="13" style="39" bestFit="1" customWidth="1"/>
    <col min="10759" max="10759" width="9.140625" style="39"/>
    <col min="10760" max="10760" width="10.7109375" style="39" bestFit="1" customWidth="1"/>
    <col min="10761" max="11008" width="9.140625" style="39"/>
    <col min="11009" max="11009" width="7.85546875" style="39" customWidth="1"/>
    <col min="11010" max="11010" width="63.28515625" style="39" customWidth="1"/>
    <col min="11011" max="11011" width="15.5703125" style="39" customWidth="1"/>
    <col min="11012" max="11012" width="15.28515625" style="39" customWidth="1"/>
    <col min="11013" max="11013" width="9.140625" style="39"/>
    <col min="11014" max="11014" width="13" style="39" bestFit="1" customWidth="1"/>
    <col min="11015" max="11015" width="9.140625" style="39"/>
    <col min="11016" max="11016" width="10.7109375" style="39" bestFit="1" customWidth="1"/>
    <col min="11017" max="11264" width="9.140625" style="39"/>
    <col min="11265" max="11265" width="7.85546875" style="39" customWidth="1"/>
    <col min="11266" max="11266" width="63.28515625" style="39" customWidth="1"/>
    <col min="11267" max="11267" width="15.5703125" style="39" customWidth="1"/>
    <col min="11268" max="11268" width="15.28515625" style="39" customWidth="1"/>
    <col min="11269" max="11269" width="9.140625" style="39"/>
    <col min="11270" max="11270" width="13" style="39" bestFit="1" customWidth="1"/>
    <col min="11271" max="11271" width="9.140625" style="39"/>
    <col min="11272" max="11272" width="10.7109375" style="39" bestFit="1" customWidth="1"/>
    <col min="11273" max="11520" width="9.140625" style="39"/>
    <col min="11521" max="11521" width="7.85546875" style="39" customWidth="1"/>
    <col min="11522" max="11522" width="63.28515625" style="39" customWidth="1"/>
    <col min="11523" max="11523" width="15.5703125" style="39" customWidth="1"/>
    <col min="11524" max="11524" width="15.28515625" style="39" customWidth="1"/>
    <col min="11525" max="11525" width="9.140625" style="39"/>
    <col min="11526" max="11526" width="13" style="39" bestFit="1" customWidth="1"/>
    <col min="11527" max="11527" width="9.140625" style="39"/>
    <col min="11528" max="11528" width="10.7109375" style="39" bestFit="1" customWidth="1"/>
    <col min="11529" max="11776" width="9.140625" style="39"/>
    <col min="11777" max="11777" width="7.85546875" style="39" customWidth="1"/>
    <col min="11778" max="11778" width="63.28515625" style="39" customWidth="1"/>
    <col min="11779" max="11779" width="15.5703125" style="39" customWidth="1"/>
    <col min="11780" max="11780" width="15.28515625" style="39" customWidth="1"/>
    <col min="11781" max="11781" width="9.140625" style="39"/>
    <col min="11782" max="11782" width="13" style="39" bestFit="1" customWidth="1"/>
    <col min="11783" max="11783" width="9.140625" style="39"/>
    <col min="11784" max="11784" width="10.7109375" style="39" bestFit="1" customWidth="1"/>
    <col min="11785" max="12032" width="9.140625" style="39"/>
    <col min="12033" max="12033" width="7.85546875" style="39" customWidth="1"/>
    <col min="12034" max="12034" width="63.28515625" style="39" customWidth="1"/>
    <col min="12035" max="12035" width="15.5703125" style="39" customWidth="1"/>
    <col min="12036" max="12036" width="15.28515625" style="39" customWidth="1"/>
    <col min="12037" max="12037" width="9.140625" style="39"/>
    <col min="12038" max="12038" width="13" style="39" bestFit="1" customWidth="1"/>
    <col min="12039" max="12039" width="9.140625" style="39"/>
    <col min="12040" max="12040" width="10.7109375" style="39" bestFit="1" customWidth="1"/>
    <col min="12041" max="12288" width="9.140625" style="39"/>
    <col min="12289" max="12289" width="7.85546875" style="39" customWidth="1"/>
    <col min="12290" max="12290" width="63.28515625" style="39" customWidth="1"/>
    <col min="12291" max="12291" width="15.5703125" style="39" customWidth="1"/>
    <col min="12292" max="12292" width="15.28515625" style="39" customWidth="1"/>
    <col min="12293" max="12293" width="9.140625" style="39"/>
    <col min="12294" max="12294" width="13" style="39" bestFit="1" customWidth="1"/>
    <col min="12295" max="12295" width="9.140625" style="39"/>
    <col min="12296" max="12296" width="10.7109375" style="39" bestFit="1" customWidth="1"/>
    <col min="12297" max="12544" width="9.140625" style="39"/>
    <col min="12545" max="12545" width="7.85546875" style="39" customWidth="1"/>
    <col min="12546" max="12546" width="63.28515625" style="39" customWidth="1"/>
    <col min="12547" max="12547" width="15.5703125" style="39" customWidth="1"/>
    <col min="12548" max="12548" width="15.28515625" style="39" customWidth="1"/>
    <col min="12549" max="12549" width="9.140625" style="39"/>
    <col min="12550" max="12550" width="13" style="39" bestFit="1" customWidth="1"/>
    <col min="12551" max="12551" width="9.140625" style="39"/>
    <col min="12552" max="12552" width="10.7109375" style="39" bestFit="1" customWidth="1"/>
    <col min="12553" max="12800" width="9.140625" style="39"/>
    <col min="12801" max="12801" width="7.85546875" style="39" customWidth="1"/>
    <col min="12802" max="12802" width="63.28515625" style="39" customWidth="1"/>
    <col min="12803" max="12803" width="15.5703125" style="39" customWidth="1"/>
    <col min="12804" max="12804" width="15.28515625" style="39" customWidth="1"/>
    <col min="12805" max="12805" width="9.140625" style="39"/>
    <col min="12806" max="12806" width="13" style="39" bestFit="1" customWidth="1"/>
    <col min="12807" max="12807" width="9.140625" style="39"/>
    <col min="12808" max="12808" width="10.7109375" style="39" bestFit="1" customWidth="1"/>
    <col min="12809" max="13056" width="9.140625" style="39"/>
    <col min="13057" max="13057" width="7.85546875" style="39" customWidth="1"/>
    <col min="13058" max="13058" width="63.28515625" style="39" customWidth="1"/>
    <col min="13059" max="13059" width="15.5703125" style="39" customWidth="1"/>
    <col min="13060" max="13060" width="15.28515625" style="39" customWidth="1"/>
    <col min="13061" max="13061" width="9.140625" style="39"/>
    <col min="13062" max="13062" width="13" style="39" bestFit="1" customWidth="1"/>
    <col min="13063" max="13063" width="9.140625" style="39"/>
    <col min="13064" max="13064" width="10.7109375" style="39" bestFit="1" customWidth="1"/>
    <col min="13065" max="13312" width="9.140625" style="39"/>
    <col min="13313" max="13313" width="7.85546875" style="39" customWidth="1"/>
    <col min="13314" max="13314" width="63.28515625" style="39" customWidth="1"/>
    <col min="13315" max="13315" width="15.5703125" style="39" customWidth="1"/>
    <col min="13316" max="13316" width="15.28515625" style="39" customWidth="1"/>
    <col min="13317" max="13317" width="9.140625" style="39"/>
    <col min="13318" max="13318" width="13" style="39" bestFit="1" customWidth="1"/>
    <col min="13319" max="13319" width="9.140625" style="39"/>
    <col min="13320" max="13320" width="10.7109375" style="39" bestFit="1" customWidth="1"/>
    <col min="13321" max="13568" width="9.140625" style="39"/>
    <col min="13569" max="13569" width="7.85546875" style="39" customWidth="1"/>
    <col min="13570" max="13570" width="63.28515625" style="39" customWidth="1"/>
    <col min="13571" max="13571" width="15.5703125" style="39" customWidth="1"/>
    <col min="13572" max="13572" width="15.28515625" style="39" customWidth="1"/>
    <col min="13573" max="13573" width="9.140625" style="39"/>
    <col min="13574" max="13574" width="13" style="39" bestFit="1" customWidth="1"/>
    <col min="13575" max="13575" width="9.140625" style="39"/>
    <col min="13576" max="13576" width="10.7109375" style="39" bestFit="1" customWidth="1"/>
    <col min="13577" max="13824" width="9.140625" style="39"/>
    <col min="13825" max="13825" width="7.85546875" style="39" customWidth="1"/>
    <col min="13826" max="13826" width="63.28515625" style="39" customWidth="1"/>
    <col min="13827" max="13827" width="15.5703125" style="39" customWidth="1"/>
    <col min="13828" max="13828" width="15.28515625" style="39" customWidth="1"/>
    <col min="13829" max="13829" width="9.140625" style="39"/>
    <col min="13830" max="13830" width="13" style="39" bestFit="1" customWidth="1"/>
    <col min="13831" max="13831" width="9.140625" style="39"/>
    <col min="13832" max="13832" width="10.7109375" style="39" bestFit="1" customWidth="1"/>
    <col min="13833" max="14080" width="9.140625" style="39"/>
    <col min="14081" max="14081" width="7.85546875" style="39" customWidth="1"/>
    <col min="14082" max="14082" width="63.28515625" style="39" customWidth="1"/>
    <col min="14083" max="14083" width="15.5703125" style="39" customWidth="1"/>
    <col min="14084" max="14084" width="15.28515625" style="39" customWidth="1"/>
    <col min="14085" max="14085" width="9.140625" style="39"/>
    <col min="14086" max="14086" width="13" style="39" bestFit="1" customWidth="1"/>
    <col min="14087" max="14087" width="9.140625" style="39"/>
    <col min="14088" max="14088" width="10.7109375" style="39" bestFit="1" customWidth="1"/>
    <col min="14089" max="14336" width="9.140625" style="39"/>
    <col min="14337" max="14337" width="7.85546875" style="39" customWidth="1"/>
    <col min="14338" max="14338" width="63.28515625" style="39" customWidth="1"/>
    <col min="14339" max="14339" width="15.5703125" style="39" customWidth="1"/>
    <col min="14340" max="14340" width="15.28515625" style="39" customWidth="1"/>
    <col min="14341" max="14341" width="9.140625" style="39"/>
    <col min="14342" max="14342" width="13" style="39" bestFit="1" customWidth="1"/>
    <col min="14343" max="14343" width="9.140625" style="39"/>
    <col min="14344" max="14344" width="10.7109375" style="39" bestFit="1" customWidth="1"/>
    <col min="14345" max="14592" width="9.140625" style="39"/>
    <col min="14593" max="14593" width="7.85546875" style="39" customWidth="1"/>
    <col min="14594" max="14594" width="63.28515625" style="39" customWidth="1"/>
    <col min="14595" max="14595" width="15.5703125" style="39" customWidth="1"/>
    <col min="14596" max="14596" width="15.28515625" style="39" customWidth="1"/>
    <col min="14597" max="14597" width="9.140625" style="39"/>
    <col min="14598" max="14598" width="13" style="39" bestFit="1" customWidth="1"/>
    <col min="14599" max="14599" width="9.140625" style="39"/>
    <col min="14600" max="14600" width="10.7109375" style="39" bestFit="1" customWidth="1"/>
    <col min="14601" max="14848" width="9.140625" style="39"/>
    <col min="14849" max="14849" width="7.85546875" style="39" customWidth="1"/>
    <col min="14850" max="14850" width="63.28515625" style="39" customWidth="1"/>
    <col min="14851" max="14851" width="15.5703125" style="39" customWidth="1"/>
    <col min="14852" max="14852" width="15.28515625" style="39" customWidth="1"/>
    <col min="14853" max="14853" width="9.140625" style="39"/>
    <col min="14854" max="14854" width="13" style="39" bestFit="1" customWidth="1"/>
    <col min="14855" max="14855" width="9.140625" style="39"/>
    <col min="14856" max="14856" width="10.7109375" style="39" bestFit="1" customWidth="1"/>
    <col min="14857" max="15104" width="9.140625" style="39"/>
    <col min="15105" max="15105" width="7.85546875" style="39" customWidth="1"/>
    <col min="15106" max="15106" width="63.28515625" style="39" customWidth="1"/>
    <col min="15107" max="15107" width="15.5703125" style="39" customWidth="1"/>
    <col min="15108" max="15108" width="15.28515625" style="39" customWidth="1"/>
    <col min="15109" max="15109" width="9.140625" style="39"/>
    <col min="15110" max="15110" width="13" style="39" bestFit="1" customWidth="1"/>
    <col min="15111" max="15111" width="9.140625" style="39"/>
    <col min="15112" max="15112" width="10.7109375" style="39" bestFit="1" customWidth="1"/>
    <col min="15113" max="15360" width="9.140625" style="39"/>
    <col min="15361" max="15361" width="7.85546875" style="39" customWidth="1"/>
    <col min="15362" max="15362" width="63.28515625" style="39" customWidth="1"/>
    <col min="15363" max="15363" width="15.5703125" style="39" customWidth="1"/>
    <col min="15364" max="15364" width="15.28515625" style="39" customWidth="1"/>
    <col min="15365" max="15365" width="9.140625" style="39"/>
    <col min="15366" max="15366" width="13" style="39" bestFit="1" customWidth="1"/>
    <col min="15367" max="15367" width="9.140625" style="39"/>
    <col min="15368" max="15368" width="10.7109375" style="39" bestFit="1" customWidth="1"/>
    <col min="15369" max="15616" width="9.140625" style="39"/>
    <col min="15617" max="15617" width="7.85546875" style="39" customWidth="1"/>
    <col min="15618" max="15618" width="63.28515625" style="39" customWidth="1"/>
    <col min="15619" max="15619" width="15.5703125" style="39" customWidth="1"/>
    <col min="15620" max="15620" width="15.28515625" style="39" customWidth="1"/>
    <col min="15621" max="15621" width="9.140625" style="39"/>
    <col min="15622" max="15622" width="13" style="39" bestFit="1" customWidth="1"/>
    <col min="15623" max="15623" width="9.140625" style="39"/>
    <col min="15624" max="15624" width="10.7109375" style="39" bestFit="1" customWidth="1"/>
    <col min="15625" max="15872" width="9.140625" style="39"/>
    <col min="15873" max="15873" width="7.85546875" style="39" customWidth="1"/>
    <col min="15874" max="15874" width="63.28515625" style="39" customWidth="1"/>
    <col min="15875" max="15875" width="15.5703125" style="39" customWidth="1"/>
    <col min="15876" max="15876" width="15.28515625" style="39" customWidth="1"/>
    <col min="15877" max="15877" width="9.140625" style="39"/>
    <col min="15878" max="15878" width="13" style="39" bestFit="1" customWidth="1"/>
    <col min="15879" max="15879" width="9.140625" style="39"/>
    <col min="15880" max="15880" width="10.7109375" style="39" bestFit="1" customWidth="1"/>
    <col min="15881" max="16128" width="9.140625" style="39"/>
    <col min="16129" max="16129" width="7.85546875" style="39" customWidth="1"/>
    <col min="16130" max="16130" width="63.28515625" style="39" customWidth="1"/>
    <col min="16131" max="16131" width="15.5703125" style="39" customWidth="1"/>
    <col min="16132" max="16132" width="15.28515625" style="39" customWidth="1"/>
    <col min="16133" max="16133" width="9.140625" style="39"/>
    <col min="16134" max="16134" width="13" style="39" bestFit="1" customWidth="1"/>
    <col min="16135" max="16135" width="9.140625" style="39"/>
    <col min="16136" max="16136" width="10.7109375" style="39" bestFit="1" customWidth="1"/>
    <col min="16137" max="16384" width="9.140625" style="39"/>
  </cols>
  <sheetData>
    <row r="1" spans="1:5" s="35" customFormat="1" ht="21">
      <c r="A1" s="233" t="s">
        <v>168</v>
      </c>
      <c r="B1" s="233"/>
      <c r="C1" s="233"/>
      <c r="D1" s="233"/>
    </row>
    <row r="2" spans="1:5" s="35" customFormat="1" ht="21">
      <c r="A2" s="240" t="s">
        <v>169</v>
      </c>
      <c r="B2" s="240"/>
      <c r="C2" s="240"/>
      <c r="D2" s="240"/>
      <c r="E2" s="36"/>
    </row>
    <row r="3" spans="1:5" ht="16.5">
      <c r="A3" s="37"/>
      <c r="B3" s="37"/>
      <c r="C3" s="37"/>
      <c r="D3" s="37"/>
      <c r="E3" s="38"/>
    </row>
    <row r="4" spans="1:5" ht="16.5">
      <c r="A4" s="37"/>
      <c r="B4" s="40" t="s">
        <v>170</v>
      </c>
      <c r="C4" s="37"/>
      <c r="D4" s="37"/>
      <c r="E4" s="38"/>
    </row>
    <row r="5" spans="1:5" ht="16.5">
      <c r="A5" s="41"/>
      <c r="B5" s="37"/>
      <c r="C5" s="37"/>
      <c r="D5" s="37"/>
      <c r="E5" s="38"/>
    </row>
    <row r="6" spans="1:5" ht="16.5">
      <c r="A6" s="241" t="s">
        <v>171</v>
      </c>
      <c r="B6" s="242" t="s">
        <v>172</v>
      </c>
      <c r="C6" s="42" t="s">
        <v>173</v>
      </c>
      <c r="D6" s="42" t="s">
        <v>173</v>
      </c>
    </row>
    <row r="7" spans="1:5" ht="16.5">
      <c r="A7" s="237"/>
      <c r="B7" s="243"/>
      <c r="C7" s="43" t="s">
        <v>174</v>
      </c>
      <c r="D7" s="43" t="s">
        <v>175</v>
      </c>
    </row>
    <row r="8" spans="1:5" ht="20.25" customHeight="1">
      <c r="A8" s="44">
        <v>1</v>
      </c>
      <c r="B8" s="45" t="s">
        <v>176</v>
      </c>
      <c r="C8" s="46">
        <f>+[1]bilanci!J43</f>
        <v>356259925.18999994</v>
      </c>
      <c r="D8" s="46">
        <v>56870007</v>
      </c>
    </row>
    <row r="9" spans="1:5" ht="16.5" customHeight="1">
      <c r="A9" s="44"/>
      <c r="B9" s="45" t="s">
        <v>177</v>
      </c>
      <c r="C9" s="46"/>
      <c r="D9" s="46">
        <v>3534194</v>
      </c>
    </row>
    <row r="10" spans="1:5" ht="17.45" customHeight="1">
      <c r="A10" s="44">
        <v>2</v>
      </c>
      <c r="B10" s="47" t="s">
        <v>178</v>
      </c>
      <c r="C10" s="48"/>
      <c r="D10" s="48"/>
    </row>
    <row r="11" spans="1:5" ht="18" customHeight="1">
      <c r="A11" s="44">
        <v>3</v>
      </c>
      <c r="B11" s="49" t="s">
        <v>179</v>
      </c>
      <c r="C11" s="48">
        <f>+[1]bilanci!M20+[1]bilanci!M21</f>
        <v>3999989.0489000082</v>
      </c>
      <c r="D11" s="48">
        <v>13268720</v>
      </c>
    </row>
    <row r="12" spans="1:5" ht="16.5" customHeight="1">
      <c r="A12" s="44">
        <v>4</v>
      </c>
      <c r="B12" s="47" t="s">
        <v>180</v>
      </c>
      <c r="C12" s="50">
        <f>+[1]bilanci!I20+[1]bilanci!I21</f>
        <v>164271692.48660001</v>
      </c>
      <c r="D12" s="50">
        <v>41870338</v>
      </c>
    </row>
    <row r="13" spans="1:5" ht="16.5" customHeight="1">
      <c r="A13" s="44"/>
      <c r="B13" s="47" t="s">
        <v>181</v>
      </c>
      <c r="C13" s="50"/>
      <c r="D13" s="50">
        <v>3534194</v>
      </c>
    </row>
    <row r="14" spans="1:5" ht="18.75" customHeight="1">
      <c r="A14" s="44">
        <v>5</v>
      </c>
      <c r="B14" s="47" t="s">
        <v>182</v>
      </c>
      <c r="C14" s="51">
        <f>+C15+C16</f>
        <v>12023071.826072307</v>
      </c>
      <c r="D14" s="50">
        <v>7655211</v>
      </c>
    </row>
    <row r="15" spans="1:5" ht="16.5">
      <c r="A15" s="44"/>
      <c r="B15" s="52" t="s">
        <v>183</v>
      </c>
      <c r="C15" s="48">
        <f>+[1]bilanci!I50</f>
        <v>10302540.909230769</v>
      </c>
      <c r="D15" s="48">
        <v>6181403</v>
      </c>
    </row>
    <row r="16" spans="1:5" ht="16.5">
      <c r="A16" s="44"/>
      <c r="B16" s="53" t="s">
        <v>184</v>
      </c>
      <c r="C16" s="48">
        <f>+[1]bilanci!I51</f>
        <v>1720530.9168415382</v>
      </c>
      <c r="D16" s="48">
        <v>1473808</v>
      </c>
    </row>
    <row r="17" spans="1:11" ht="18" customHeight="1">
      <c r="A17" s="44">
        <v>6</v>
      </c>
      <c r="B17" s="47" t="s">
        <v>185</v>
      </c>
      <c r="C17" s="48">
        <f>+[1]bilanci!I63</f>
        <v>9497974.1541099995</v>
      </c>
      <c r="D17" s="48">
        <v>3033413</v>
      </c>
    </row>
    <row r="18" spans="1:11" ht="18" customHeight="1">
      <c r="A18" s="44">
        <v>7</v>
      </c>
      <c r="B18" s="47" t="s">
        <v>186</v>
      </c>
      <c r="C18" s="48">
        <f>+[1]bilanci!I55+[1]bilanci!I56+[1]bilanci!I58+[1]bilanci!I60+[1]bilanci!I48+[1]bilanci!I59+[1]bilanci!I53+[1]bilanci!I57+[1]bilanci!I52+[1]bilanci!I62+[1]bilanci!I49</f>
        <v>20557299.119999997</v>
      </c>
      <c r="D18" s="48">
        <v>7296015</v>
      </c>
      <c r="G18" s="239"/>
      <c r="H18" s="239"/>
      <c r="I18" s="239"/>
      <c r="J18" s="239"/>
      <c r="K18" s="239"/>
    </row>
    <row r="19" spans="1:11" ht="18" customHeight="1">
      <c r="A19" s="54">
        <v>7</v>
      </c>
      <c r="B19" s="47" t="s">
        <v>187</v>
      </c>
      <c r="C19" s="48">
        <f>[1]bilanci!I64</f>
        <v>2898701.4899999998</v>
      </c>
      <c r="D19" s="48">
        <v>6924153</v>
      </c>
      <c r="G19" s="55"/>
      <c r="H19" s="55"/>
      <c r="I19" s="55"/>
      <c r="J19" s="55"/>
      <c r="K19" s="55"/>
    </row>
    <row r="20" spans="1:11" ht="24" customHeight="1">
      <c r="A20" s="44">
        <v>8</v>
      </c>
      <c r="B20" s="56" t="s">
        <v>188</v>
      </c>
      <c r="C20" s="50">
        <f>C12+C14+C17+C18+C19+C13</f>
        <v>209248739.07678235</v>
      </c>
      <c r="D20" s="50">
        <v>70313324</v>
      </c>
      <c r="G20" s="238"/>
      <c r="H20" s="239"/>
      <c r="I20" s="239"/>
      <c r="J20" s="239"/>
      <c r="K20" s="239"/>
    </row>
    <row r="21" spans="1:11" ht="20.25" customHeight="1">
      <c r="A21" s="44">
        <v>9</v>
      </c>
      <c r="B21" s="47" t="s">
        <v>189</v>
      </c>
      <c r="C21" s="50">
        <f>C8+C10+C11-C20+C9</f>
        <v>151011175.1621176</v>
      </c>
      <c r="D21" s="50">
        <v>3359598</v>
      </c>
    </row>
    <row r="22" spans="1:11" ht="21.75" customHeight="1">
      <c r="A22" s="44">
        <v>10</v>
      </c>
      <c r="B22" s="47" t="s">
        <v>190</v>
      </c>
      <c r="C22" s="48"/>
      <c r="D22" s="48"/>
    </row>
    <row r="23" spans="1:11" ht="20.25" customHeight="1">
      <c r="A23" s="44">
        <v>11</v>
      </c>
      <c r="B23" s="47" t="s">
        <v>191</v>
      </c>
      <c r="C23" s="48"/>
      <c r="D23" s="48"/>
    </row>
    <row r="24" spans="1:11" ht="21.75" customHeight="1">
      <c r="A24" s="44">
        <v>12</v>
      </c>
      <c r="B24" s="47" t="s">
        <v>192</v>
      </c>
      <c r="C24" s="50">
        <f>C26+C28+C27</f>
        <v>-6556515.3200000003</v>
      </c>
      <c r="D24" s="50">
        <f>D25+D26+D27+D28</f>
        <v>-2488183</v>
      </c>
    </row>
    <row r="25" spans="1:11" ht="18.75" customHeight="1">
      <c r="A25" s="57"/>
      <c r="B25" s="52" t="s">
        <v>193</v>
      </c>
      <c r="C25" s="48"/>
      <c r="D25" s="48"/>
    </row>
    <row r="26" spans="1:11" ht="19.5" customHeight="1">
      <c r="A26" s="57"/>
      <c r="B26" s="52" t="s">
        <v>194</v>
      </c>
      <c r="C26" s="48">
        <f>-[1]bilanci!I61</f>
        <v>-6557367.3200000003</v>
      </c>
      <c r="D26" s="48">
        <v>-2942843</v>
      </c>
    </row>
    <row r="27" spans="1:11" ht="18.75" customHeight="1">
      <c r="A27" s="57"/>
      <c r="B27" s="52" t="s">
        <v>195</v>
      </c>
      <c r="C27" s="48">
        <f>-[1]bilanci!I44</f>
        <v>0</v>
      </c>
      <c r="D27" s="48">
        <v>0</v>
      </c>
    </row>
    <row r="28" spans="1:11" ht="21.2" customHeight="1">
      <c r="A28" s="57"/>
      <c r="B28" s="52" t="s">
        <v>196</v>
      </c>
      <c r="C28" s="48">
        <f>[1]bilanci!J44</f>
        <v>852</v>
      </c>
      <c r="D28" s="48">
        <v>454660</v>
      </c>
    </row>
    <row r="29" spans="1:11" ht="27" customHeight="1">
      <c r="A29" s="57">
        <v>13</v>
      </c>
      <c r="B29" s="58" t="s">
        <v>197</v>
      </c>
      <c r="C29" s="50">
        <f>+C24</f>
        <v>-6556515.3200000003</v>
      </c>
      <c r="D29" s="50">
        <f>+D24</f>
        <v>-2488183</v>
      </c>
    </row>
    <row r="30" spans="1:11" ht="28.5" customHeight="1">
      <c r="A30" s="57">
        <v>14</v>
      </c>
      <c r="B30" s="58" t="s">
        <v>198</v>
      </c>
      <c r="C30" s="50">
        <f>+C21+C29</f>
        <v>144454659.84211761</v>
      </c>
      <c r="D30" s="50">
        <f>+D21+D29</f>
        <v>871415</v>
      </c>
    </row>
    <row r="31" spans="1:11" ht="22.7" customHeight="1">
      <c r="A31" s="44">
        <v>15</v>
      </c>
      <c r="B31" s="47" t="s">
        <v>199</v>
      </c>
      <c r="C31" s="48">
        <f>(+C30+C19)*0.1</f>
        <v>14735336.133211762</v>
      </c>
      <c r="D31" s="48">
        <f>(+D30+D19)*0.1</f>
        <v>779556.8</v>
      </c>
    </row>
    <row r="32" spans="1:11" ht="26.45" customHeight="1">
      <c r="A32" s="57">
        <v>16</v>
      </c>
      <c r="B32" s="49" t="s">
        <v>200</v>
      </c>
      <c r="C32" s="50">
        <f>+C30-C31</f>
        <v>129719323.70890585</v>
      </c>
      <c r="D32" s="50">
        <f>+D30-D31</f>
        <v>91858.199999999953</v>
      </c>
    </row>
    <row r="33" spans="1:6" ht="30.2" customHeight="1">
      <c r="A33" s="44">
        <v>17</v>
      </c>
      <c r="B33" s="47" t="s">
        <v>201</v>
      </c>
      <c r="C33" s="48"/>
      <c r="D33" s="48"/>
    </row>
    <row r="34" spans="1:6" ht="22.7" customHeight="1">
      <c r="A34" s="59"/>
      <c r="B34" s="60"/>
      <c r="C34" s="61"/>
      <c r="D34" s="61"/>
    </row>
    <row r="35" spans="1:6" ht="21.75" customHeight="1">
      <c r="A35" s="59"/>
      <c r="B35" s="60"/>
      <c r="C35" s="60"/>
      <c r="D35" s="61"/>
    </row>
    <row r="36" spans="1:6" ht="15">
      <c r="A36" s="41"/>
      <c r="B36" s="41"/>
      <c r="C36" s="41"/>
      <c r="D36" s="61"/>
      <c r="E36" s="38"/>
    </row>
    <row r="37" spans="1:6" ht="15">
      <c r="A37" s="41"/>
      <c r="B37" s="41"/>
      <c r="C37" s="41"/>
      <c r="D37" s="41"/>
      <c r="E37" s="41"/>
      <c r="F37" s="41"/>
    </row>
    <row r="38" spans="1:6" ht="16.5">
      <c r="A38" s="41"/>
      <c r="B38" s="41"/>
      <c r="C38" s="41"/>
      <c r="D38" s="62"/>
      <c r="E38" s="38"/>
    </row>
    <row r="39" spans="1:6" ht="15">
      <c r="A39" s="41"/>
      <c r="B39" s="40"/>
      <c r="C39" s="40"/>
      <c r="D39" s="63"/>
      <c r="E39" s="38"/>
    </row>
    <row r="40" spans="1:6" ht="16.5">
      <c r="A40" s="41"/>
      <c r="B40" s="40"/>
      <c r="C40" s="40"/>
      <c r="D40" s="62"/>
      <c r="E40" s="38"/>
    </row>
    <row r="41" spans="1:6" ht="16.5">
      <c r="A41" s="41"/>
      <c r="B41" s="41"/>
      <c r="C41" s="62"/>
      <c r="D41" s="62"/>
      <c r="E41" s="38"/>
    </row>
    <row r="42" spans="1:6" ht="16.5">
      <c r="A42" s="41"/>
      <c r="B42" s="41"/>
      <c r="C42" s="62"/>
      <c r="D42" s="62"/>
      <c r="E42" s="38"/>
    </row>
  </sheetData>
  <mergeCells count="6">
    <mergeCell ref="G20:K20"/>
    <mergeCell ref="A1:D1"/>
    <mergeCell ref="A2:D2"/>
    <mergeCell ref="A6:A7"/>
    <mergeCell ref="B6:B7"/>
    <mergeCell ref="G18:K1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5"/>
  <sheetViews>
    <sheetView topLeftCell="A19" workbookViewId="0">
      <selection activeCell="D30" sqref="D30"/>
    </sheetView>
  </sheetViews>
  <sheetFormatPr defaultRowHeight="15"/>
  <cols>
    <col min="1" max="1" width="5.42578125" customWidth="1"/>
    <col min="2" max="2" width="61.5703125" customWidth="1"/>
    <col min="3" max="3" width="17.28515625" customWidth="1"/>
    <col min="4" max="4" width="17.42578125" customWidth="1"/>
    <col min="5" max="5" width="9.85546875" bestFit="1" customWidth="1"/>
    <col min="6" max="6" width="10.7109375" bestFit="1" customWidth="1"/>
    <col min="7" max="7" width="9.5703125" bestFit="1" customWidth="1"/>
    <col min="257" max="257" width="5.42578125" customWidth="1"/>
    <col min="258" max="258" width="61.5703125" customWidth="1"/>
    <col min="259" max="259" width="17.28515625" customWidth="1"/>
    <col min="260" max="260" width="17.42578125" customWidth="1"/>
    <col min="261" max="261" width="9.85546875" bestFit="1" customWidth="1"/>
    <col min="262" max="262" width="10.7109375" bestFit="1" customWidth="1"/>
    <col min="263" max="263" width="9.5703125" bestFit="1" customWidth="1"/>
    <col min="513" max="513" width="5.42578125" customWidth="1"/>
    <col min="514" max="514" width="61.5703125" customWidth="1"/>
    <col min="515" max="515" width="17.28515625" customWidth="1"/>
    <col min="516" max="516" width="17.42578125" customWidth="1"/>
    <col min="517" max="517" width="9.85546875" bestFit="1" customWidth="1"/>
    <col min="518" max="518" width="10.7109375" bestFit="1" customWidth="1"/>
    <col min="519" max="519" width="9.5703125" bestFit="1" customWidth="1"/>
    <col min="769" max="769" width="5.42578125" customWidth="1"/>
    <col min="770" max="770" width="61.5703125" customWidth="1"/>
    <col min="771" max="771" width="17.28515625" customWidth="1"/>
    <col min="772" max="772" width="17.42578125" customWidth="1"/>
    <col min="773" max="773" width="9.85546875" bestFit="1" customWidth="1"/>
    <col min="774" max="774" width="10.7109375" bestFit="1" customWidth="1"/>
    <col min="775" max="775" width="9.5703125" bestFit="1" customWidth="1"/>
    <col min="1025" max="1025" width="5.42578125" customWidth="1"/>
    <col min="1026" max="1026" width="61.5703125" customWidth="1"/>
    <col min="1027" max="1027" width="17.28515625" customWidth="1"/>
    <col min="1028" max="1028" width="17.42578125" customWidth="1"/>
    <col min="1029" max="1029" width="9.85546875" bestFit="1" customWidth="1"/>
    <col min="1030" max="1030" width="10.7109375" bestFit="1" customWidth="1"/>
    <col min="1031" max="1031" width="9.5703125" bestFit="1" customWidth="1"/>
    <col min="1281" max="1281" width="5.42578125" customWidth="1"/>
    <col min="1282" max="1282" width="61.5703125" customWidth="1"/>
    <col min="1283" max="1283" width="17.28515625" customWidth="1"/>
    <col min="1284" max="1284" width="17.42578125" customWidth="1"/>
    <col min="1285" max="1285" width="9.85546875" bestFit="1" customWidth="1"/>
    <col min="1286" max="1286" width="10.7109375" bestFit="1" customWidth="1"/>
    <col min="1287" max="1287" width="9.5703125" bestFit="1" customWidth="1"/>
    <col min="1537" max="1537" width="5.42578125" customWidth="1"/>
    <col min="1538" max="1538" width="61.5703125" customWidth="1"/>
    <col min="1539" max="1539" width="17.28515625" customWidth="1"/>
    <col min="1540" max="1540" width="17.42578125" customWidth="1"/>
    <col min="1541" max="1541" width="9.85546875" bestFit="1" customWidth="1"/>
    <col min="1542" max="1542" width="10.7109375" bestFit="1" customWidth="1"/>
    <col min="1543" max="1543" width="9.5703125" bestFit="1" customWidth="1"/>
    <col min="1793" max="1793" width="5.42578125" customWidth="1"/>
    <col min="1794" max="1794" width="61.5703125" customWidth="1"/>
    <col min="1795" max="1795" width="17.28515625" customWidth="1"/>
    <col min="1796" max="1796" width="17.42578125" customWidth="1"/>
    <col min="1797" max="1797" width="9.85546875" bestFit="1" customWidth="1"/>
    <col min="1798" max="1798" width="10.7109375" bestFit="1" customWidth="1"/>
    <col min="1799" max="1799" width="9.5703125" bestFit="1" customWidth="1"/>
    <col min="2049" max="2049" width="5.42578125" customWidth="1"/>
    <col min="2050" max="2050" width="61.5703125" customWidth="1"/>
    <col min="2051" max="2051" width="17.28515625" customWidth="1"/>
    <col min="2052" max="2052" width="17.42578125" customWidth="1"/>
    <col min="2053" max="2053" width="9.85546875" bestFit="1" customWidth="1"/>
    <col min="2054" max="2054" width="10.7109375" bestFit="1" customWidth="1"/>
    <col min="2055" max="2055" width="9.5703125" bestFit="1" customWidth="1"/>
    <col min="2305" max="2305" width="5.42578125" customWidth="1"/>
    <col min="2306" max="2306" width="61.5703125" customWidth="1"/>
    <col min="2307" max="2307" width="17.28515625" customWidth="1"/>
    <col min="2308" max="2308" width="17.42578125" customWidth="1"/>
    <col min="2309" max="2309" width="9.85546875" bestFit="1" customWidth="1"/>
    <col min="2310" max="2310" width="10.7109375" bestFit="1" customWidth="1"/>
    <col min="2311" max="2311" width="9.5703125" bestFit="1" customWidth="1"/>
    <col min="2561" max="2561" width="5.42578125" customWidth="1"/>
    <col min="2562" max="2562" width="61.5703125" customWidth="1"/>
    <col min="2563" max="2563" width="17.28515625" customWidth="1"/>
    <col min="2564" max="2564" width="17.42578125" customWidth="1"/>
    <col min="2565" max="2565" width="9.85546875" bestFit="1" customWidth="1"/>
    <col min="2566" max="2566" width="10.7109375" bestFit="1" customWidth="1"/>
    <col min="2567" max="2567" width="9.5703125" bestFit="1" customWidth="1"/>
    <col min="2817" max="2817" width="5.42578125" customWidth="1"/>
    <col min="2818" max="2818" width="61.5703125" customWidth="1"/>
    <col min="2819" max="2819" width="17.28515625" customWidth="1"/>
    <col min="2820" max="2820" width="17.42578125" customWidth="1"/>
    <col min="2821" max="2821" width="9.85546875" bestFit="1" customWidth="1"/>
    <col min="2822" max="2822" width="10.7109375" bestFit="1" customWidth="1"/>
    <col min="2823" max="2823" width="9.5703125" bestFit="1" customWidth="1"/>
    <col min="3073" max="3073" width="5.42578125" customWidth="1"/>
    <col min="3074" max="3074" width="61.5703125" customWidth="1"/>
    <col min="3075" max="3075" width="17.28515625" customWidth="1"/>
    <col min="3076" max="3076" width="17.42578125" customWidth="1"/>
    <col min="3077" max="3077" width="9.85546875" bestFit="1" customWidth="1"/>
    <col min="3078" max="3078" width="10.7109375" bestFit="1" customWidth="1"/>
    <col min="3079" max="3079" width="9.5703125" bestFit="1" customWidth="1"/>
    <col min="3329" max="3329" width="5.42578125" customWidth="1"/>
    <col min="3330" max="3330" width="61.5703125" customWidth="1"/>
    <col min="3331" max="3331" width="17.28515625" customWidth="1"/>
    <col min="3332" max="3332" width="17.42578125" customWidth="1"/>
    <col min="3333" max="3333" width="9.85546875" bestFit="1" customWidth="1"/>
    <col min="3334" max="3334" width="10.7109375" bestFit="1" customWidth="1"/>
    <col min="3335" max="3335" width="9.5703125" bestFit="1" customWidth="1"/>
    <col min="3585" max="3585" width="5.42578125" customWidth="1"/>
    <col min="3586" max="3586" width="61.5703125" customWidth="1"/>
    <col min="3587" max="3587" width="17.28515625" customWidth="1"/>
    <col min="3588" max="3588" width="17.42578125" customWidth="1"/>
    <col min="3589" max="3589" width="9.85546875" bestFit="1" customWidth="1"/>
    <col min="3590" max="3590" width="10.7109375" bestFit="1" customWidth="1"/>
    <col min="3591" max="3591" width="9.5703125" bestFit="1" customWidth="1"/>
    <col min="3841" max="3841" width="5.42578125" customWidth="1"/>
    <col min="3842" max="3842" width="61.5703125" customWidth="1"/>
    <col min="3843" max="3843" width="17.28515625" customWidth="1"/>
    <col min="3844" max="3844" width="17.42578125" customWidth="1"/>
    <col min="3845" max="3845" width="9.85546875" bestFit="1" customWidth="1"/>
    <col min="3846" max="3846" width="10.7109375" bestFit="1" customWidth="1"/>
    <col min="3847" max="3847" width="9.5703125" bestFit="1" customWidth="1"/>
    <col min="4097" max="4097" width="5.42578125" customWidth="1"/>
    <col min="4098" max="4098" width="61.5703125" customWidth="1"/>
    <col min="4099" max="4099" width="17.28515625" customWidth="1"/>
    <col min="4100" max="4100" width="17.42578125" customWidth="1"/>
    <col min="4101" max="4101" width="9.85546875" bestFit="1" customWidth="1"/>
    <col min="4102" max="4102" width="10.7109375" bestFit="1" customWidth="1"/>
    <col min="4103" max="4103" width="9.5703125" bestFit="1" customWidth="1"/>
    <col min="4353" max="4353" width="5.42578125" customWidth="1"/>
    <col min="4354" max="4354" width="61.5703125" customWidth="1"/>
    <col min="4355" max="4355" width="17.28515625" customWidth="1"/>
    <col min="4356" max="4356" width="17.42578125" customWidth="1"/>
    <col min="4357" max="4357" width="9.85546875" bestFit="1" customWidth="1"/>
    <col min="4358" max="4358" width="10.7109375" bestFit="1" customWidth="1"/>
    <col min="4359" max="4359" width="9.5703125" bestFit="1" customWidth="1"/>
    <col min="4609" max="4609" width="5.42578125" customWidth="1"/>
    <col min="4610" max="4610" width="61.5703125" customWidth="1"/>
    <col min="4611" max="4611" width="17.28515625" customWidth="1"/>
    <col min="4612" max="4612" width="17.42578125" customWidth="1"/>
    <col min="4613" max="4613" width="9.85546875" bestFit="1" customWidth="1"/>
    <col min="4614" max="4614" width="10.7109375" bestFit="1" customWidth="1"/>
    <col min="4615" max="4615" width="9.5703125" bestFit="1" customWidth="1"/>
    <col min="4865" max="4865" width="5.42578125" customWidth="1"/>
    <col min="4866" max="4866" width="61.5703125" customWidth="1"/>
    <col min="4867" max="4867" width="17.28515625" customWidth="1"/>
    <col min="4868" max="4868" width="17.42578125" customWidth="1"/>
    <col min="4869" max="4869" width="9.85546875" bestFit="1" customWidth="1"/>
    <col min="4870" max="4870" width="10.7109375" bestFit="1" customWidth="1"/>
    <col min="4871" max="4871" width="9.5703125" bestFit="1" customWidth="1"/>
    <col min="5121" max="5121" width="5.42578125" customWidth="1"/>
    <col min="5122" max="5122" width="61.5703125" customWidth="1"/>
    <col min="5123" max="5123" width="17.28515625" customWidth="1"/>
    <col min="5124" max="5124" width="17.42578125" customWidth="1"/>
    <col min="5125" max="5125" width="9.85546875" bestFit="1" customWidth="1"/>
    <col min="5126" max="5126" width="10.7109375" bestFit="1" customWidth="1"/>
    <col min="5127" max="5127" width="9.5703125" bestFit="1" customWidth="1"/>
    <col min="5377" max="5377" width="5.42578125" customWidth="1"/>
    <col min="5378" max="5378" width="61.5703125" customWidth="1"/>
    <col min="5379" max="5379" width="17.28515625" customWidth="1"/>
    <col min="5380" max="5380" width="17.42578125" customWidth="1"/>
    <col min="5381" max="5381" width="9.85546875" bestFit="1" customWidth="1"/>
    <col min="5382" max="5382" width="10.7109375" bestFit="1" customWidth="1"/>
    <col min="5383" max="5383" width="9.5703125" bestFit="1" customWidth="1"/>
    <col min="5633" max="5633" width="5.42578125" customWidth="1"/>
    <col min="5634" max="5634" width="61.5703125" customWidth="1"/>
    <col min="5635" max="5635" width="17.28515625" customWidth="1"/>
    <col min="5636" max="5636" width="17.42578125" customWidth="1"/>
    <col min="5637" max="5637" width="9.85546875" bestFit="1" customWidth="1"/>
    <col min="5638" max="5638" width="10.7109375" bestFit="1" customWidth="1"/>
    <col min="5639" max="5639" width="9.5703125" bestFit="1" customWidth="1"/>
    <col min="5889" max="5889" width="5.42578125" customWidth="1"/>
    <col min="5890" max="5890" width="61.5703125" customWidth="1"/>
    <col min="5891" max="5891" width="17.28515625" customWidth="1"/>
    <col min="5892" max="5892" width="17.42578125" customWidth="1"/>
    <col min="5893" max="5893" width="9.85546875" bestFit="1" customWidth="1"/>
    <col min="5894" max="5894" width="10.7109375" bestFit="1" customWidth="1"/>
    <col min="5895" max="5895" width="9.5703125" bestFit="1" customWidth="1"/>
    <col min="6145" max="6145" width="5.42578125" customWidth="1"/>
    <col min="6146" max="6146" width="61.5703125" customWidth="1"/>
    <col min="6147" max="6147" width="17.28515625" customWidth="1"/>
    <col min="6148" max="6148" width="17.42578125" customWidth="1"/>
    <col min="6149" max="6149" width="9.85546875" bestFit="1" customWidth="1"/>
    <col min="6150" max="6150" width="10.7109375" bestFit="1" customWidth="1"/>
    <col min="6151" max="6151" width="9.5703125" bestFit="1" customWidth="1"/>
    <col min="6401" max="6401" width="5.42578125" customWidth="1"/>
    <col min="6402" max="6402" width="61.5703125" customWidth="1"/>
    <col min="6403" max="6403" width="17.28515625" customWidth="1"/>
    <col min="6404" max="6404" width="17.42578125" customWidth="1"/>
    <col min="6405" max="6405" width="9.85546875" bestFit="1" customWidth="1"/>
    <col min="6406" max="6406" width="10.7109375" bestFit="1" customWidth="1"/>
    <col min="6407" max="6407" width="9.5703125" bestFit="1" customWidth="1"/>
    <col min="6657" max="6657" width="5.42578125" customWidth="1"/>
    <col min="6658" max="6658" width="61.5703125" customWidth="1"/>
    <col min="6659" max="6659" width="17.28515625" customWidth="1"/>
    <col min="6660" max="6660" width="17.42578125" customWidth="1"/>
    <col min="6661" max="6661" width="9.85546875" bestFit="1" customWidth="1"/>
    <col min="6662" max="6662" width="10.7109375" bestFit="1" customWidth="1"/>
    <col min="6663" max="6663" width="9.5703125" bestFit="1" customWidth="1"/>
    <col min="6913" max="6913" width="5.42578125" customWidth="1"/>
    <col min="6914" max="6914" width="61.5703125" customWidth="1"/>
    <col min="6915" max="6915" width="17.28515625" customWidth="1"/>
    <col min="6916" max="6916" width="17.42578125" customWidth="1"/>
    <col min="6917" max="6917" width="9.85546875" bestFit="1" customWidth="1"/>
    <col min="6918" max="6918" width="10.7109375" bestFit="1" customWidth="1"/>
    <col min="6919" max="6919" width="9.5703125" bestFit="1" customWidth="1"/>
    <col min="7169" max="7169" width="5.42578125" customWidth="1"/>
    <col min="7170" max="7170" width="61.5703125" customWidth="1"/>
    <col min="7171" max="7171" width="17.28515625" customWidth="1"/>
    <col min="7172" max="7172" width="17.42578125" customWidth="1"/>
    <col min="7173" max="7173" width="9.85546875" bestFit="1" customWidth="1"/>
    <col min="7174" max="7174" width="10.7109375" bestFit="1" customWidth="1"/>
    <col min="7175" max="7175" width="9.5703125" bestFit="1" customWidth="1"/>
    <col min="7425" max="7425" width="5.42578125" customWidth="1"/>
    <col min="7426" max="7426" width="61.5703125" customWidth="1"/>
    <col min="7427" max="7427" width="17.28515625" customWidth="1"/>
    <col min="7428" max="7428" width="17.42578125" customWidth="1"/>
    <col min="7429" max="7429" width="9.85546875" bestFit="1" customWidth="1"/>
    <col min="7430" max="7430" width="10.7109375" bestFit="1" customWidth="1"/>
    <col min="7431" max="7431" width="9.5703125" bestFit="1" customWidth="1"/>
    <col min="7681" max="7681" width="5.42578125" customWidth="1"/>
    <col min="7682" max="7682" width="61.5703125" customWidth="1"/>
    <col min="7683" max="7683" width="17.28515625" customWidth="1"/>
    <col min="7684" max="7684" width="17.42578125" customWidth="1"/>
    <col min="7685" max="7685" width="9.85546875" bestFit="1" customWidth="1"/>
    <col min="7686" max="7686" width="10.7109375" bestFit="1" customWidth="1"/>
    <col min="7687" max="7687" width="9.5703125" bestFit="1" customWidth="1"/>
    <col min="7937" max="7937" width="5.42578125" customWidth="1"/>
    <col min="7938" max="7938" width="61.5703125" customWidth="1"/>
    <col min="7939" max="7939" width="17.28515625" customWidth="1"/>
    <col min="7940" max="7940" width="17.42578125" customWidth="1"/>
    <col min="7941" max="7941" width="9.85546875" bestFit="1" customWidth="1"/>
    <col min="7942" max="7942" width="10.7109375" bestFit="1" customWidth="1"/>
    <col min="7943" max="7943" width="9.5703125" bestFit="1" customWidth="1"/>
    <col min="8193" max="8193" width="5.42578125" customWidth="1"/>
    <col min="8194" max="8194" width="61.5703125" customWidth="1"/>
    <col min="8195" max="8195" width="17.28515625" customWidth="1"/>
    <col min="8196" max="8196" width="17.42578125" customWidth="1"/>
    <col min="8197" max="8197" width="9.85546875" bestFit="1" customWidth="1"/>
    <col min="8198" max="8198" width="10.7109375" bestFit="1" customWidth="1"/>
    <col min="8199" max="8199" width="9.5703125" bestFit="1" customWidth="1"/>
    <col min="8449" max="8449" width="5.42578125" customWidth="1"/>
    <col min="8450" max="8450" width="61.5703125" customWidth="1"/>
    <col min="8451" max="8451" width="17.28515625" customWidth="1"/>
    <col min="8452" max="8452" width="17.42578125" customWidth="1"/>
    <col min="8453" max="8453" width="9.85546875" bestFit="1" customWidth="1"/>
    <col min="8454" max="8454" width="10.7109375" bestFit="1" customWidth="1"/>
    <col min="8455" max="8455" width="9.5703125" bestFit="1" customWidth="1"/>
    <col min="8705" max="8705" width="5.42578125" customWidth="1"/>
    <col min="8706" max="8706" width="61.5703125" customWidth="1"/>
    <col min="8707" max="8707" width="17.28515625" customWidth="1"/>
    <col min="8708" max="8708" width="17.42578125" customWidth="1"/>
    <col min="8709" max="8709" width="9.85546875" bestFit="1" customWidth="1"/>
    <col min="8710" max="8710" width="10.7109375" bestFit="1" customWidth="1"/>
    <col min="8711" max="8711" width="9.5703125" bestFit="1" customWidth="1"/>
    <col min="8961" max="8961" width="5.42578125" customWidth="1"/>
    <col min="8962" max="8962" width="61.5703125" customWidth="1"/>
    <col min="8963" max="8963" width="17.28515625" customWidth="1"/>
    <col min="8964" max="8964" width="17.42578125" customWidth="1"/>
    <col min="8965" max="8965" width="9.85546875" bestFit="1" customWidth="1"/>
    <col min="8966" max="8966" width="10.7109375" bestFit="1" customWidth="1"/>
    <col min="8967" max="8967" width="9.5703125" bestFit="1" customWidth="1"/>
    <col min="9217" max="9217" width="5.42578125" customWidth="1"/>
    <col min="9218" max="9218" width="61.5703125" customWidth="1"/>
    <col min="9219" max="9219" width="17.28515625" customWidth="1"/>
    <col min="9220" max="9220" width="17.42578125" customWidth="1"/>
    <col min="9221" max="9221" width="9.85546875" bestFit="1" customWidth="1"/>
    <col min="9222" max="9222" width="10.7109375" bestFit="1" customWidth="1"/>
    <col min="9223" max="9223" width="9.5703125" bestFit="1" customWidth="1"/>
    <col min="9473" max="9473" width="5.42578125" customWidth="1"/>
    <col min="9474" max="9474" width="61.5703125" customWidth="1"/>
    <col min="9475" max="9475" width="17.28515625" customWidth="1"/>
    <col min="9476" max="9476" width="17.42578125" customWidth="1"/>
    <col min="9477" max="9477" width="9.85546875" bestFit="1" customWidth="1"/>
    <col min="9478" max="9478" width="10.7109375" bestFit="1" customWidth="1"/>
    <col min="9479" max="9479" width="9.5703125" bestFit="1" customWidth="1"/>
    <col min="9729" max="9729" width="5.42578125" customWidth="1"/>
    <col min="9730" max="9730" width="61.5703125" customWidth="1"/>
    <col min="9731" max="9731" width="17.28515625" customWidth="1"/>
    <col min="9732" max="9732" width="17.42578125" customWidth="1"/>
    <col min="9733" max="9733" width="9.85546875" bestFit="1" customWidth="1"/>
    <col min="9734" max="9734" width="10.7109375" bestFit="1" customWidth="1"/>
    <col min="9735" max="9735" width="9.5703125" bestFit="1" customWidth="1"/>
    <col min="9985" max="9985" width="5.42578125" customWidth="1"/>
    <col min="9986" max="9986" width="61.5703125" customWidth="1"/>
    <col min="9987" max="9987" width="17.28515625" customWidth="1"/>
    <col min="9988" max="9988" width="17.42578125" customWidth="1"/>
    <col min="9989" max="9989" width="9.85546875" bestFit="1" customWidth="1"/>
    <col min="9990" max="9990" width="10.7109375" bestFit="1" customWidth="1"/>
    <col min="9991" max="9991" width="9.5703125" bestFit="1" customWidth="1"/>
    <col min="10241" max="10241" width="5.42578125" customWidth="1"/>
    <col min="10242" max="10242" width="61.5703125" customWidth="1"/>
    <col min="10243" max="10243" width="17.28515625" customWidth="1"/>
    <col min="10244" max="10244" width="17.42578125" customWidth="1"/>
    <col min="10245" max="10245" width="9.85546875" bestFit="1" customWidth="1"/>
    <col min="10246" max="10246" width="10.7109375" bestFit="1" customWidth="1"/>
    <col min="10247" max="10247" width="9.5703125" bestFit="1" customWidth="1"/>
    <col min="10497" max="10497" width="5.42578125" customWidth="1"/>
    <col min="10498" max="10498" width="61.5703125" customWidth="1"/>
    <col min="10499" max="10499" width="17.28515625" customWidth="1"/>
    <col min="10500" max="10500" width="17.42578125" customWidth="1"/>
    <col min="10501" max="10501" width="9.85546875" bestFit="1" customWidth="1"/>
    <col min="10502" max="10502" width="10.7109375" bestFit="1" customWidth="1"/>
    <col min="10503" max="10503" width="9.5703125" bestFit="1" customWidth="1"/>
    <col min="10753" max="10753" width="5.42578125" customWidth="1"/>
    <col min="10754" max="10754" width="61.5703125" customWidth="1"/>
    <col min="10755" max="10755" width="17.28515625" customWidth="1"/>
    <col min="10756" max="10756" width="17.42578125" customWidth="1"/>
    <col min="10757" max="10757" width="9.85546875" bestFit="1" customWidth="1"/>
    <col min="10758" max="10758" width="10.7109375" bestFit="1" customWidth="1"/>
    <col min="10759" max="10759" width="9.5703125" bestFit="1" customWidth="1"/>
    <col min="11009" max="11009" width="5.42578125" customWidth="1"/>
    <col min="11010" max="11010" width="61.5703125" customWidth="1"/>
    <col min="11011" max="11011" width="17.28515625" customWidth="1"/>
    <col min="11012" max="11012" width="17.42578125" customWidth="1"/>
    <col min="11013" max="11013" width="9.85546875" bestFit="1" customWidth="1"/>
    <col min="11014" max="11014" width="10.7109375" bestFit="1" customWidth="1"/>
    <col min="11015" max="11015" width="9.5703125" bestFit="1" customWidth="1"/>
    <col min="11265" max="11265" width="5.42578125" customWidth="1"/>
    <col min="11266" max="11266" width="61.5703125" customWidth="1"/>
    <col min="11267" max="11267" width="17.28515625" customWidth="1"/>
    <col min="11268" max="11268" width="17.42578125" customWidth="1"/>
    <col min="11269" max="11269" width="9.85546875" bestFit="1" customWidth="1"/>
    <col min="11270" max="11270" width="10.7109375" bestFit="1" customWidth="1"/>
    <col min="11271" max="11271" width="9.5703125" bestFit="1" customWidth="1"/>
    <col min="11521" max="11521" width="5.42578125" customWidth="1"/>
    <col min="11522" max="11522" width="61.5703125" customWidth="1"/>
    <col min="11523" max="11523" width="17.28515625" customWidth="1"/>
    <col min="11524" max="11524" width="17.42578125" customWidth="1"/>
    <col min="11525" max="11525" width="9.85546875" bestFit="1" customWidth="1"/>
    <col min="11526" max="11526" width="10.7109375" bestFit="1" customWidth="1"/>
    <col min="11527" max="11527" width="9.5703125" bestFit="1" customWidth="1"/>
    <col min="11777" max="11777" width="5.42578125" customWidth="1"/>
    <col min="11778" max="11778" width="61.5703125" customWidth="1"/>
    <col min="11779" max="11779" width="17.28515625" customWidth="1"/>
    <col min="11780" max="11780" width="17.42578125" customWidth="1"/>
    <col min="11781" max="11781" width="9.85546875" bestFit="1" customWidth="1"/>
    <col min="11782" max="11782" width="10.7109375" bestFit="1" customWidth="1"/>
    <col min="11783" max="11783" width="9.5703125" bestFit="1" customWidth="1"/>
    <col min="12033" max="12033" width="5.42578125" customWidth="1"/>
    <col min="12034" max="12034" width="61.5703125" customWidth="1"/>
    <col min="12035" max="12035" width="17.28515625" customWidth="1"/>
    <col min="12036" max="12036" width="17.42578125" customWidth="1"/>
    <col min="12037" max="12037" width="9.85546875" bestFit="1" customWidth="1"/>
    <col min="12038" max="12038" width="10.7109375" bestFit="1" customWidth="1"/>
    <col min="12039" max="12039" width="9.5703125" bestFit="1" customWidth="1"/>
    <col min="12289" max="12289" width="5.42578125" customWidth="1"/>
    <col min="12290" max="12290" width="61.5703125" customWidth="1"/>
    <col min="12291" max="12291" width="17.28515625" customWidth="1"/>
    <col min="12292" max="12292" width="17.42578125" customWidth="1"/>
    <col min="12293" max="12293" width="9.85546875" bestFit="1" customWidth="1"/>
    <col min="12294" max="12294" width="10.7109375" bestFit="1" customWidth="1"/>
    <col min="12295" max="12295" width="9.5703125" bestFit="1" customWidth="1"/>
    <col min="12545" max="12545" width="5.42578125" customWidth="1"/>
    <col min="12546" max="12546" width="61.5703125" customWidth="1"/>
    <col min="12547" max="12547" width="17.28515625" customWidth="1"/>
    <col min="12548" max="12548" width="17.42578125" customWidth="1"/>
    <col min="12549" max="12549" width="9.85546875" bestFit="1" customWidth="1"/>
    <col min="12550" max="12550" width="10.7109375" bestFit="1" customWidth="1"/>
    <col min="12551" max="12551" width="9.5703125" bestFit="1" customWidth="1"/>
    <col min="12801" max="12801" width="5.42578125" customWidth="1"/>
    <col min="12802" max="12802" width="61.5703125" customWidth="1"/>
    <col min="12803" max="12803" width="17.28515625" customWidth="1"/>
    <col min="12804" max="12804" width="17.42578125" customWidth="1"/>
    <col min="12805" max="12805" width="9.85546875" bestFit="1" customWidth="1"/>
    <col min="12806" max="12806" width="10.7109375" bestFit="1" customWidth="1"/>
    <col min="12807" max="12807" width="9.5703125" bestFit="1" customWidth="1"/>
    <col min="13057" max="13057" width="5.42578125" customWidth="1"/>
    <col min="13058" max="13058" width="61.5703125" customWidth="1"/>
    <col min="13059" max="13059" width="17.28515625" customWidth="1"/>
    <col min="13060" max="13060" width="17.42578125" customWidth="1"/>
    <col min="13061" max="13061" width="9.85546875" bestFit="1" customWidth="1"/>
    <col min="13062" max="13062" width="10.7109375" bestFit="1" customWidth="1"/>
    <col min="13063" max="13063" width="9.5703125" bestFit="1" customWidth="1"/>
    <col min="13313" max="13313" width="5.42578125" customWidth="1"/>
    <col min="13314" max="13314" width="61.5703125" customWidth="1"/>
    <col min="13315" max="13315" width="17.28515625" customWidth="1"/>
    <col min="13316" max="13316" width="17.42578125" customWidth="1"/>
    <col min="13317" max="13317" width="9.85546875" bestFit="1" customWidth="1"/>
    <col min="13318" max="13318" width="10.7109375" bestFit="1" customWidth="1"/>
    <col min="13319" max="13319" width="9.5703125" bestFit="1" customWidth="1"/>
    <col min="13569" max="13569" width="5.42578125" customWidth="1"/>
    <col min="13570" max="13570" width="61.5703125" customWidth="1"/>
    <col min="13571" max="13571" width="17.28515625" customWidth="1"/>
    <col min="13572" max="13572" width="17.42578125" customWidth="1"/>
    <col min="13573" max="13573" width="9.85546875" bestFit="1" customWidth="1"/>
    <col min="13574" max="13574" width="10.7109375" bestFit="1" customWidth="1"/>
    <col min="13575" max="13575" width="9.5703125" bestFit="1" customWidth="1"/>
    <col min="13825" max="13825" width="5.42578125" customWidth="1"/>
    <col min="13826" max="13826" width="61.5703125" customWidth="1"/>
    <col min="13827" max="13827" width="17.28515625" customWidth="1"/>
    <col min="13828" max="13828" width="17.42578125" customWidth="1"/>
    <col min="13829" max="13829" width="9.85546875" bestFit="1" customWidth="1"/>
    <col min="13830" max="13830" width="10.7109375" bestFit="1" customWidth="1"/>
    <col min="13831" max="13831" width="9.5703125" bestFit="1" customWidth="1"/>
    <col min="14081" max="14081" width="5.42578125" customWidth="1"/>
    <col min="14082" max="14082" width="61.5703125" customWidth="1"/>
    <col min="14083" max="14083" width="17.28515625" customWidth="1"/>
    <col min="14084" max="14084" width="17.42578125" customWidth="1"/>
    <col min="14085" max="14085" width="9.85546875" bestFit="1" customWidth="1"/>
    <col min="14086" max="14086" width="10.7109375" bestFit="1" customWidth="1"/>
    <col min="14087" max="14087" width="9.5703125" bestFit="1" customWidth="1"/>
    <col min="14337" max="14337" width="5.42578125" customWidth="1"/>
    <col min="14338" max="14338" width="61.5703125" customWidth="1"/>
    <col min="14339" max="14339" width="17.28515625" customWidth="1"/>
    <col min="14340" max="14340" width="17.42578125" customWidth="1"/>
    <col min="14341" max="14341" width="9.85546875" bestFit="1" customWidth="1"/>
    <col min="14342" max="14342" width="10.7109375" bestFit="1" customWidth="1"/>
    <col min="14343" max="14343" width="9.5703125" bestFit="1" customWidth="1"/>
    <col min="14593" max="14593" width="5.42578125" customWidth="1"/>
    <col min="14594" max="14594" width="61.5703125" customWidth="1"/>
    <col min="14595" max="14595" width="17.28515625" customWidth="1"/>
    <col min="14596" max="14596" width="17.42578125" customWidth="1"/>
    <col min="14597" max="14597" width="9.85546875" bestFit="1" customWidth="1"/>
    <col min="14598" max="14598" width="10.7109375" bestFit="1" customWidth="1"/>
    <col min="14599" max="14599" width="9.5703125" bestFit="1" customWidth="1"/>
    <col min="14849" max="14849" width="5.42578125" customWidth="1"/>
    <col min="14850" max="14850" width="61.5703125" customWidth="1"/>
    <col min="14851" max="14851" width="17.28515625" customWidth="1"/>
    <col min="14852" max="14852" width="17.42578125" customWidth="1"/>
    <col min="14853" max="14853" width="9.85546875" bestFit="1" customWidth="1"/>
    <col min="14854" max="14854" width="10.7109375" bestFit="1" customWidth="1"/>
    <col min="14855" max="14855" width="9.5703125" bestFit="1" customWidth="1"/>
    <col min="15105" max="15105" width="5.42578125" customWidth="1"/>
    <col min="15106" max="15106" width="61.5703125" customWidth="1"/>
    <col min="15107" max="15107" width="17.28515625" customWidth="1"/>
    <col min="15108" max="15108" width="17.42578125" customWidth="1"/>
    <col min="15109" max="15109" width="9.85546875" bestFit="1" customWidth="1"/>
    <col min="15110" max="15110" width="10.7109375" bestFit="1" customWidth="1"/>
    <col min="15111" max="15111" width="9.5703125" bestFit="1" customWidth="1"/>
    <col min="15361" max="15361" width="5.42578125" customWidth="1"/>
    <col min="15362" max="15362" width="61.5703125" customWidth="1"/>
    <col min="15363" max="15363" width="17.28515625" customWidth="1"/>
    <col min="15364" max="15364" width="17.42578125" customWidth="1"/>
    <col min="15365" max="15365" width="9.85546875" bestFit="1" customWidth="1"/>
    <col min="15366" max="15366" width="10.7109375" bestFit="1" customWidth="1"/>
    <col min="15367" max="15367" width="9.5703125" bestFit="1" customWidth="1"/>
    <col min="15617" max="15617" width="5.42578125" customWidth="1"/>
    <col min="15618" max="15618" width="61.5703125" customWidth="1"/>
    <col min="15619" max="15619" width="17.28515625" customWidth="1"/>
    <col min="15620" max="15620" width="17.42578125" customWidth="1"/>
    <col min="15621" max="15621" width="9.85546875" bestFit="1" customWidth="1"/>
    <col min="15622" max="15622" width="10.7109375" bestFit="1" customWidth="1"/>
    <col min="15623" max="15623" width="9.5703125" bestFit="1" customWidth="1"/>
    <col min="15873" max="15873" width="5.42578125" customWidth="1"/>
    <col min="15874" max="15874" width="61.5703125" customWidth="1"/>
    <col min="15875" max="15875" width="17.28515625" customWidth="1"/>
    <col min="15876" max="15876" width="17.42578125" customWidth="1"/>
    <col min="15877" max="15877" width="9.85546875" bestFit="1" customWidth="1"/>
    <col min="15878" max="15878" width="10.7109375" bestFit="1" customWidth="1"/>
    <col min="15879" max="15879" width="9.5703125" bestFit="1" customWidth="1"/>
    <col min="16129" max="16129" width="5.42578125" customWidth="1"/>
    <col min="16130" max="16130" width="61.5703125" customWidth="1"/>
    <col min="16131" max="16131" width="17.28515625" customWidth="1"/>
    <col min="16132" max="16132" width="17.42578125" customWidth="1"/>
    <col min="16133" max="16133" width="9.85546875" bestFit="1" customWidth="1"/>
    <col min="16134" max="16134" width="10.7109375" bestFit="1" customWidth="1"/>
    <col min="16135" max="16135" width="9.5703125" bestFit="1" customWidth="1"/>
  </cols>
  <sheetData>
    <row r="1" spans="1:4">
      <c r="A1" s="64"/>
      <c r="B1" s="64"/>
      <c r="C1" s="64"/>
      <c r="D1" s="64"/>
    </row>
    <row r="2" spans="1:4" s="65" customFormat="1" ht="20.25">
      <c r="A2" s="244" t="s">
        <v>168</v>
      </c>
      <c r="B2" s="244"/>
      <c r="C2" s="244"/>
      <c r="D2" s="244"/>
    </row>
    <row r="3" spans="1:4" s="65" customFormat="1" ht="20.25">
      <c r="A3" s="245" t="s">
        <v>202</v>
      </c>
      <c r="B3" s="245"/>
      <c r="C3" s="245"/>
      <c r="D3" s="245"/>
    </row>
    <row r="4" spans="1:4">
      <c r="A4" s="66"/>
      <c r="B4" s="66"/>
      <c r="C4" s="66"/>
      <c r="D4" s="66"/>
    </row>
    <row r="5" spans="1:4">
      <c r="A5" s="66"/>
      <c r="B5" s="67" t="s">
        <v>170</v>
      </c>
      <c r="C5" s="66"/>
      <c r="D5" s="66"/>
    </row>
    <row r="6" spans="1:4" ht="15.75" thickBot="1">
      <c r="A6" s="68"/>
      <c r="B6" s="66"/>
      <c r="C6" s="66"/>
      <c r="D6" s="66"/>
    </row>
    <row r="7" spans="1:4">
      <c r="A7" s="246" t="s">
        <v>171</v>
      </c>
      <c r="B7" s="248" t="s">
        <v>172</v>
      </c>
      <c r="C7" s="69" t="s">
        <v>173</v>
      </c>
      <c r="D7" s="70" t="s">
        <v>173</v>
      </c>
    </row>
    <row r="8" spans="1:4">
      <c r="A8" s="247"/>
      <c r="B8" s="249"/>
      <c r="C8" s="71" t="s">
        <v>174</v>
      </c>
      <c r="D8" s="72" t="s">
        <v>175</v>
      </c>
    </row>
    <row r="9" spans="1:4" ht="16.5" customHeight="1">
      <c r="A9" s="73">
        <v>1</v>
      </c>
      <c r="B9" s="74" t="s">
        <v>176</v>
      </c>
      <c r="C9" s="75">
        <f>+[1]bilanci!J43</f>
        <v>356259925.18999994</v>
      </c>
      <c r="D9" s="76">
        <v>56870007</v>
      </c>
    </row>
    <row r="10" spans="1:4" ht="14.25" customHeight="1">
      <c r="A10" s="73" t="s">
        <v>203</v>
      </c>
      <c r="B10" s="74" t="s">
        <v>204</v>
      </c>
      <c r="C10" s="75"/>
      <c r="D10" s="76">
        <v>3534194</v>
      </c>
    </row>
    <row r="11" spans="1:4" ht="20.25" customHeight="1">
      <c r="A11" s="73">
        <v>2</v>
      </c>
      <c r="B11" s="77" t="s">
        <v>205</v>
      </c>
      <c r="C11" s="78">
        <f>+[1]bilanci!I45</f>
        <v>160271703.4377</v>
      </c>
      <c r="D11" s="79">
        <v>28601618</v>
      </c>
    </row>
    <row r="12" spans="1:4" ht="14.25" customHeight="1">
      <c r="A12" s="73" t="s">
        <v>206</v>
      </c>
      <c r="B12" s="77" t="s">
        <v>207</v>
      </c>
      <c r="C12" s="78"/>
      <c r="D12" s="80">
        <v>3534194</v>
      </c>
    </row>
    <row r="13" spans="1:4" ht="22.5" customHeight="1">
      <c r="A13" s="81">
        <v>3</v>
      </c>
      <c r="B13" s="82" t="s">
        <v>208</v>
      </c>
      <c r="C13" s="83">
        <f>C9-C11+C10-C12</f>
        <v>195988221.75229993</v>
      </c>
      <c r="D13" s="83">
        <f>D9-D11</f>
        <v>28268389</v>
      </c>
    </row>
    <row r="14" spans="1:4" ht="21.2" customHeight="1">
      <c r="A14" s="73">
        <v>4</v>
      </c>
      <c r="B14" s="77" t="s">
        <v>209</v>
      </c>
      <c r="C14" s="79"/>
      <c r="D14" s="79"/>
    </row>
    <row r="15" spans="1:4" ht="25.5" customHeight="1">
      <c r="A15" s="73">
        <v>5</v>
      </c>
      <c r="B15" s="77" t="s">
        <v>210</v>
      </c>
      <c r="C15" s="84">
        <f>+[1]bilanci!I50+[1]bilanci!I51</f>
        <v>12023071.826072307</v>
      </c>
      <c r="D15" s="79">
        <v>7655211</v>
      </c>
    </row>
    <row r="16" spans="1:4" ht="23.25" customHeight="1">
      <c r="A16" s="73">
        <v>6</v>
      </c>
      <c r="B16" s="77" t="s">
        <v>211</v>
      </c>
      <c r="C16" s="78"/>
      <c r="D16" s="85"/>
    </row>
    <row r="17" spans="1:4" ht="24.75" customHeight="1">
      <c r="A17" s="73">
        <v>7</v>
      </c>
      <c r="B17" s="86" t="s">
        <v>212</v>
      </c>
      <c r="C17" s="78">
        <f>+[1]bilanci!I48+[1]bilanci!I53+[1]bilanci!I55+[1]bilanci!I56+[1]bilanci!I57+[1]bilanci!I58+[1]bilanci!I59+[1]bilanci!I60+[1]bilanci!I63+[1]bilanci!I61</f>
        <v>27707725.444109999</v>
      </c>
      <c r="D17" s="79">
        <v>10329427</v>
      </c>
    </row>
    <row r="18" spans="1:4" ht="24.75" customHeight="1">
      <c r="A18" s="73">
        <v>7.1</v>
      </c>
      <c r="B18" s="86" t="s">
        <v>213</v>
      </c>
      <c r="C18" s="78">
        <f>+'[1]a-sh.nat'!C19</f>
        <v>2898701.4899999998</v>
      </c>
      <c r="D18" s="79">
        <v>6924153</v>
      </c>
    </row>
    <row r="19" spans="1:4" ht="26.45" customHeight="1">
      <c r="A19" s="73">
        <v>8</v>
      </c>
      <c r="B19" s="77" t="s">
        <v>214</v>
      </c>
      <c r="C19" s="83">
        <f>+'[1]a-sh.nat'!C21</f>
        <v>151011175.1621176</v>
      </c>
      <c r="D19" s="83">
        <v>3359598</v>
      </c>
    </row>
    <row r="20" spans="1:4" ht="22.7" customHeight="1">
      <c r="A20" s="73">
        <v>9</v>
      </c>
      <c r="B20" s="77" t="s">
        <v>215</v>
      </c>
      <c r="C20" s="78"/>
      <c r="D20" s="85"/>
    </row>
    <row r="21" spans="1:4" ht="23.25" customHeight="1">
      <c r="A21" s="73">
        <v>10</v>
      </c>
      <c r="B21" s="86" t="s">
        <v>216</v>
      </c>
      <c r="C21" s="78"/>
      <c r="D21" s="85"/>
    </row>
    <row r="22" spans="1:4" ht="22.7" customHeight="1">
      <c r="A22" s="73">
        <v>11</v>
      </c>
      <c r="B22" s="77" t="s">
        <v>217</v>
      </c>
      <c r="C22" s="83">
        <f>SUM(C23:C26)</f>
        <v>-6556515.3200000003</v>
      </c>
      <c r="D22" s="83">
        <f>SUM(D23:D26)</f>
        <v>-2488183</v>
      </c>
    </row>
    <row r="23" spans="1:4" ht="21.2" customHeight="1">
      <c r="A23" s="73"/>
      <c r="B23" s="87" t="s">
        <v>218</v>
      </c>
      <c r="C23" s="78"/>
      <c r="D23" s="85"/>
    </row>
    <row r="24" spans="1:4" ht="26.45" customHeight="1">
      <c r="A24" s="73"/>
      <c r="B24" s="87" t="s">
        <v>219</v>
      </c>
      <c r="C24" s="78">
        <f>-[1]bilanci!I61</f>
        <v>-6557367.3200000003</v>
      </c>
      <c r="D24" s="79">
        <v>-2942843</v>
      </c>
    </row>
    <row r="25" spans="1:4" ht="23.25" customHeight="1">
      <c r="A25" s="73"/>
      <c r="B25" s="87" t="s">
        <v>220</v>
      </c>
      <c r="C25" s="78"/>
      <c r="D25" s="79">
        <v>0</v>
      </c>
    </row>
    <row r="26" spans="1:4" ht="24" customHeight="1">
      <c r="A26" s="81"/>
      <c r="B26" s="87" t="s">
        <v>221</v>
      </c>
      <c r="C26" s="78">
        <f>+[1]bilanci!J44</f>
        <v>852</v>
      </c>
      <c r="D26" s="79">
        <v>454660</v>
      </c>
    </row>
    <row r="27" spans="1:4" ht="38.25" customHeight="1">
      <c r="A27" s="81">
        <v>12</v>
      </c>
      <c r="B27" s="88" t="s">
        <v>222</v>
      </c>
      <c r="C27" s="83">
        <f>+C22</f>
        <v>-6556515.3200000003</v>
      </c>
      <c r="D27" s="83">
        <f>+D22</f>
        <v>-2488183</v>
      </c>
    </row>
    <row r="28" spans="1:4" ht="31.7" customHeight="1">
      <c r="A28" s="81">
        <v>13</v>
      </c>
      <c r="B28" s="89" t="s">
        <v>223</v>
      </c>
      <c r="C28" s="83">
        <f>+C19+C27</f>
        <v>144454659.84211761</v>
      </c>
      <c r="D28" s="83">
        <f>+D19+D27</f>
        <v>871415</v>
      </c>
    </row>
    <row r="29" spans="1:4" ht="21.2" customHeight="1">
      <c r="A29" s="73">
        <v>14</v>
      </c>
      <c r="B29" s="77" t="s">
        <v>224</v>
      </c>
      <c r="C29" s="78">
        <f>+[1]bilanci!K67</f>
        <v>14735336.133211769</v>
      </c>
      <c r="D29" s="78">
        <v>779557</v>
      </c>
    </row>
    <row r="30" spans="1:4" ht="24" customHeight="1">
      <c r="A30" s="81">
        <v>15</v>
      </c>
      <c r="B30" s="89" t="s">
        <v>225</v>
      </c>
      <c r="C30" s="83">
        <f>+C28-C29</f>
        <v>129719323.70890585</v>
      </c>
      <c r="D30" s="83">
        <f>+D28-D29</f>
        <v>91858</v>
      </c>
    </row>
    <row r="31" spans="1:4" ht="27.75" customHeight="1">
      <c r="A31" s="73">
        <v>16</v>
      </c>
      <c r="B31" s="77" t="s">
        <v>201</v>
      </c>
      <c r="C31" s="78"/>
      <c r="D31" s="85"/>
    </row>
    <row r="32" spans="1:4" ht="27" customHeight="1" thickBot="1">
      <c r="A32" s="90"/>
      <c r="B32" s="91"/>
      <c r="C32" s="92"/>
      <c r="D32" s="93"/>
    </row>
    <row r="33" spans="1:4" s="96" customFormat="1" ht="21.2" customHeight="1">
      <c r="A33" s="67"/>
      <c r="B33" s="94"/>
      <c r="C33" s="94"/>
      <c r="D33" s="95"/>
    </row>
    <row r="34" spans="1:4" s="96" customFormat="1" ht="27.75" customHeight="1">
      <c r="A34" s="66"/>
      <c r="B34" s="94"/>
      <c r="C34" s="94"/>
      <c r="D34" s="95"/>
    </row>
    <row r="35" spans="1:4" s="96" customFormat="1">
      <c r="A35" s="68"/>
      <c r="B35" s="94"/>
      <c r="C35" s="94"/>
      <c r="D35" s="95"/>
    </row>
    <row r="36" spans="1:4" s="96" customFormat="1">
      <c r="A36" s="68"/>
      <c r="B36" s="97"/>
      <c r="C36" s="95"/>
      <c r="D36" s="95"/>
    </row>
    <row r="37" spans="1:4" s="96" customFormat="1">
      <c r="A37" s="68"/>
      <c r="B37" s="97"/>
      <c r="C37" s="95"/>
      <c r="D37" s="95"/>
    </row>
    <row r="38" spans="1:4" s="96" customFormat="1">
      <c r="A38" s="67"/>
      <c r="B38" s="97"/>
      <c r="C38" s="95"/>
      <c r="D38" s="95"/>
    </row>
    <row r="39" spans="1:4" s="96" customFormat="1">
      <c r="A39" s="68"/>
      <c r="B39" s="97"/>
      <c r="C39" s="95"/>
      <c r="D39" s="95"/>
    </row>
    <row r="40" spans="1:4" s="96" customFormat="1">
      <c r="A40" s="68"/>
      <c r="B40" s="68"/>
      <c r="C40" s="98"/>
      <c r="D40" s="98"/>
    </row>
    <row r="41" spans="1:4">
      <c r="A41" s="99"/>
      <c r="B41" s="99"/>
      <c r="C41" s="100"/>
      <c r="D41" s="100"/>
    </row>
    <row r="42" spans="1:4">
      <c r="A42" s="99"/>
      <c r="B42" s="99"/>
      <c r="C42" s="100"/>
      <c r="D42" s="100"/>
    </row>
    <row r="43" spans="1:4">
      <c r="A43" s="99"/>
      <c r="B43" s="101"/>
      <c r="C43" s="100"/>
      <c r="D43" s="102"/>
    </row>
    <row r="44" spans="1:4">
      <c r="A44" s="99"/>
      <c r="B44" s="99"/>
      <c r="C44" s="100"/>
      <c r="D44" s="100"/>
    </row>
    <row r="45" spans="1:4">
      <c r="A45" s="99"/>
      <c r="B45" s="99"/>
      <c r="C45" s="100"/>
      <c r="D45" s="100"/>
    </row>
  </sheetData>
  <mergeCells count="4">
    <mergeCell ref="A2:D2"/>
    <mergeCell ref="A3:D3"/>
    <mergeCell ref="A7:A8"/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5"/>
  <sheetViews>
    <sheetView workbookViewId="0">
      <selection activeCell="M7" sqref="M7"/>
    </sheetView>
  </sheetViews>
  <sheetFormatPr defaultColWidth="7.85546875" defaultRowHeight="13.5"/>
  <cols>
    <col min="1" max="1" width="5.28515625" style="5" customWidth="1"/>
    <col min="2" max="2" width="32.28515625" style="16" customWidth="1"/>
    <col min="3" max="3" width="10" style="5" customWidth="1"/>
    <col min="4" max="5" width="7.85546875" style="5" customWidth="1"/>
    <col min="6" max="6" width="11.140625" style="19" customWidth="1"/>
    <col min="7" max="8" width="12.42578125" style="19" customWidth="1"/>
    <col min="9" max="9" width="12.7109375" style="19" customWidth="1"/>
    <col min="10" max="10" width="7.85546875" style="5" customWidth="1"/>
    <col min="11" max="11" width="11.85546875" style="19" customWidth="1"/>
    <col min="12" max="12" width="7.85546875" style="5"/>
    <col min="13" max="13" width="13.42578125" style="5" customWidth="1"/>
    <col min="14" max="256" width="7.85546875" style="5"/>
    <col min="257" max="257" width="5.28515625" style="5" customWidth="1"/>
    <col min="258" max="258" width="32.28515625" style="5" customWidth="1"/>
    <col min="259" max="259" width="10" style="5" customWidth="1"/>
    <col min="260" max="261" width="7.85546875" style="5" customWidth="1"/>
    <col min="262" max="262" width="11.140625" style="5" customWidth="1"/>
    <col min="263" max="264" width="12.42578125" style="5" customWidth="1"/>
    <col min="265" max="265" width="12.7109375" style="5" customWidth="1"/>
    <col min="266" max="266" width="7.85546875" style="5" customWidth="1"/>
    <col min="267" max="267" width="11.85546875" style="5" customWidth="1"/>
    <col min="268" max="268" width="7.85546875" style="5"/>
    <col min="269" max="269" width="13.42578125" style="5" customWidth="1"/>
    <col min="270" max="512" width="7.85546875" style="5"/>
    <col min="513" max="513" width="5.28515625" style="5" customWidth="1"/>
    <col min="514" max="514" width="32.28515625" style="5" customWidth="1"/>
    <col min="515" max="515" width="10" style="5" customWidth="1"/>
    <col min="516" max="517" width="7.85546875" style="5" customWidth="1"/>
    <col min="518" max="518" width="11.140625" style="5" customWidth="1"/>
    <col min="519" max="520" width="12.42578125" style="5" customWidth="1"/>
    <col min="521" max="521" width="12.7109375" style="5" customWidth="1"/>
    <col min="522" max="522" width="7.85546875" style="5" customWidth="1"/>
    <col min="523" max="523" width="11.85546875" style="5" customWidth="1"/>
    <col min="524" max="524" width="7.85546875" style="5"/>
    <col min="525" max="525" width="13.42578125" style="5" customWidth="1"/>
    <col min="526" max="768" width="7.85546875" style="5"/>
    <col min="769" max="769" width="5.28515625" style="5" customWidth="1"/>
    <col min="770" max="770" width="32.28515625" style="5" customWidth="1"/>
    <col min="771" max="771" width="10" style="5" customWidth="1"/>
    <col min="772" max="773" width="7.85546875" style="5" customWidth="1"/>
    <col min="774" max="774" width="11.140625" style="5" customWidth="1"/>
    <col min="775" max="776" width="12.42578125" style="5" customWidth="1"/>
    <col min="777" max="777" width="12.7109375" style="5" customWidth="1"/>
    <col min="778" max="778" width="7.85546875" style="5" customWidth="1"/>
    <col min="779" max="779" width="11.85546875" style="5" customWidth="1"/>
    <col min="780" max="780" width="7.85546875" style="5"/>
    <col min="781" max="781" width="13.42578125" style="5" customWidth="1"/>
    <col min="782" max="1024" width="7.85546875" style="5"/>
    <col min="1025" max="1025" width="5.28515625" style="5" customWidth="1"/>
    <col min="1026" max="1026" width="32.28515625" style="5" customWidth="1"/>
    <col min="1027" max="1027" width="10" style="5" customWidth="1"/>
    <col min="1028" max="1029" width="7.85546875" style="5" customWidth="1"/>
    <col min="1030" max="1030" width="11.140625" style="5" customWidth="1"/>
    <col min="1031" max="1032" width="12.42578125" style="5" customWidth="1"/>
    <col min="1033" max="1033" width="12.7109375" style="5" customWidth="1"/>
    <col min="1034" max="1034" width="7.85546875" style="5" customWidth="1"/>
    <col min="1035" max="1035" width="11.85546875" style="5" customWidth="1"/>
    <col min="1036" max="1036" width="7.85546875" style="5"/>
    <col min="1037" max="1037" width="13.42578125" style="5" customWidth="1"/>
    <col min="1038" max="1280" width="7.85546875" style="5"/>
    <col min="1281" max="1281" width="5.28515625" style="5" customWidth="1"/>
    <col min="1282" max="1282" width="32.28515625" style="5" customWidth="1"/>
    <col min="1283" max="1283" width="10" style="5" customWidth="1"/>
    <col min="1284" max="1285" width="7.85546875" style="5" customWidth="1"/>
    <col min="1286" max="1286" width="11.140625" style="5" customWidth="1"/>
    <col min="1287" max="1288" width="12.42578125" style="5" customWidth="1"/>
    <col min="1289" max="1289" width="12.7109375" style="5" customWidth="1"/>
    <col min="1290" max="1290" width="7.85546875" style="5" customWidth="1"/>
    <col min="1291" max="1291" width="11.85546875" style="5" customWidth="1"/>
    <col min="1292" max="1292" width="7.85546875" style="5"/>
    <col min="1293" max="1293" width="13.42578125" style="5" customWidth="1"/>
    <col min="1294" max="1536" width="7.85546875" style="5"/>
    <col min="1537" max="1537" width="5.28515625" style="5" customWidth="1"/>
    <col min="1538" max="1538" width="32.28515625" style="5" customWidth="1"/>
    <col min="1539" max="1539" width="10" style="5" customWidth="1"/>
    <col min="1540" max="1541" width="7.85546875" style="5" customWidth="1"/>
    <col min="1542" max="1542" width="11.140625" style="5" customWidth="1"/>
    <col min="1543" max="1544" width="12.42578125" style="5" customWidth="1"/>
    <col min="1545" max="1545" width="12.7109375" style="5" customWidth="1"/>
    <col min="1546" max="1546" width="7.85546875" style="5" customWidth="1"/>
    <col min="1547" max="1547" width="11.85546875" style="5" customWidth="1"/>
    <col min="1548" max="1548" width="7.85546875" style="5"/>
    <col min="1549" max="1549" width="13.42578125" style="5" customWidth="1"/>
    <col min="1550" max="1792" width="7.85546875" style="5"/>
    <col min="1793" max="1793" width="5.28515625" style="5" customWidth="1"/>
    <col min="1794" max="1794" width="32.28515625" style="5" customWidth="1"/>
    <col min="1795" max="1795" width="10" style="5" customWidth="1"/>
    <col min="1796" max="1797" width="7.85546875" style="5" customWidth="1"/>
    <col min="1798" max="1798" width="11.140625" style="5" customWidth="1"/>
    <col min="1799" max="1800" width="12.42578125" style="5" customWidth="1"/>
    <col min="1801" max="1801" width="12.7109375" style="5" customWidth="1"/>
    <col min="1802" max="1802" width="7.85546875" style="5" customWidth="1"/>
    <col min="1803" max="1803" width="11.85546875" style="5" customWidth="1"/>
    <col min="1804" max="1804" width="7.85546875" style="5"/>
    <col min="1805" max="1805" width="13.42578125" style="5" customWidth="1"/>
    <col min="1806" max="2048" width="7.85546875" style="5"/>
    <col min="2049" max="2049" width="5.28515625" style="5" customWidth="1"/>
    <col min="2050" max="2050" width="32.28515625" style="5" customWidth="1"/>
    <col min="2051" max="2051" width="10" style="5" customWidth="1"/>
    <col min="2052" max="2053" width="7.85546875" style="5" customWidth="1"/>
    <col min="2054" max="2054" width="11.140625" style="5" customWidth="1"/>
    <col min="2055" max="2056" width="12.42578125" style="5" customWidth="1"/>
    <col min="2057" max="2057" width="12.7109375" style="5" customWidth="1"/>
    <col min="2058" max="2058" width="7.85546875" style="5" customWidth="1"/>
    <col min="2059" max="2059" width="11.85546875" style="5" customWidth="1"/>
    <col min="2060" max="2060" width="7.85546875" style="5"/>
    <col min="2061" max="2061" width="13.42578125" style="5" customWidth="1"/>
    <col min="2062" max="2304" width="7.85546875" style="5"/>
    <col min="2305" max="2305" width="5.28515625" style="5" customWidth="1"/>
    <col min="2306" max="2306" width="32.28515625" style="5" customWidth="1"/>
    <col min="2307" max="2307" width="10" style="5" customWidth="1"/>
    <col min="2308" max="2309" width="7.85546875" style="5" customWidth="1"/>
    <col min="2310" max="2310" width="11.140625" style="5" customWidth="1"/>
    <col min="2311" max="2312" width="12.42578125" style="5" customWidth="1"/>
    <col min="2313" max="2313" width="12.7109375" style="5" customWidth="1"/>
    <col min="2314" max="2314" width="7.85546875" style="5" customWidth="1"/>
    <col min="2315" max="2315" width="11.85546875" style="5" customWidth="1"/>
    <col min="2316" max="2316" width="7.85546875" style="5"/>
    <col min="2317" max="2317" width="13.42578125" style="5" customWidth="1"/>
    <col min="2318" max="2560" width="7.85546875" style="5"/>
    <col min="2561" max="2561" width="5.28515625" style="5" customWidth="1"/>
    <col min="2562" max="2562" width="32.28515625" style="5" customWidth="1"/>
    <col min="2563" max="2563" width="10" style="5" customWidth="1"/>
    <col min="2564" max="2565" width="7.85546875" style="5" customWidth="1"/>
    <col min="2566" max="2566" width="11.140625" style="5" customWidth="1"/>
    <col min="2567" max="2568" width="12.42578125" style="5" customWidth="1"/>
    <col min="2569" max="2569" width="12.7109375" style="5" customWidth="1"/>
    <col min="2570" max="2570" width="7.85546875" style="5" customWidth="1"/>
    <col min="2571" max="2571" width="11.85546875" style="5" customWidth="1"/>
    <col min="2572" max="2572" width="7.85546875" style="5"/>
    <col min="2573" max="2573" width="13.42578125" style="5" customWidth="1"/>
    <col min="2574" max="2816" width="7.85546875" style="5"/>
    <col min="2817" max="2817" width="5.28515625" style="5" customWidth="1"/>
    <col min="2818" max="2818" width="32.28515625" style="5" customWidth="1"/>
    <col min="2819" max="2819" width="10" style="5" customWidth="1"/>
    <col min="2820" max="2821" width="7.85546875" style="5" customWidth="1"/>
    <col min="2822" max="2822" width="11.140625" style="5" customWidth="1"/>
    <col min="2823" max="2824" width="12.42578125" style="5" customWidth="1"/>
    <col min="2825" max="2825" width="12.7109375" style="5" customWidth="1"/>
    <col min="2826" max="2826" width="7.85546875" style="5" customWidth="1"/>
    <col min="2827" max="2827" width="11.85546875" style="5" customWidth="1"/>
    <col min="2828" max="2828" width="7.85546875" style="5"/>
    <col min="2829" max="2829" width="13.42578125" style="5" customWidth="1"/>
    <col min="2830" max="3072" width="7.85546875" style="5"/>
    <col min="3073" max="3073" width="5.28515625" style="5" customWidth="1"/>
    <col min="3074" max="3074" width="32.28515625" style="5" customWidth="1"/>
    <col min="3075" max="3075" width="10" style="5" customWidth="1"/>
    <col min="3076" max="3077" width="7.85546875" style="5" customWidth="1"/>
    <col min="3078" max="3078" width="11.140625" style="5" customWidth="1"/>
    <col min="3079" max="3080" width="12.42578125" style="5" customWidth="1"/>
    <col min="3081" max="3081" width="12.7109375" style="5" customWidth="1"/>
    <col min="3082" max="3082" width="7.85546875" style="5" customWidth="1"/>
    <col min="3083" max="3083" width="11.85546875" style="5" customWidth="1"/>
    <col min="3084" max="3084" width="7.85546875" style="5"/>
    <col min="3085" max="3085" width="13.42578125" style="5" customWidth="1"/>
    <col min="3086" max="3328" width="7.85546875" style="5"/>
    <col min="3329" max="3329" width="5.28515625" style="5" customWidth="1"/>
    <col min="3330" max="3330" width="32.28515625" style="5" customWidth="1"/>
    <col min="3331" max="3331" width="10" style="5" customWidth="1"/>
    <col min="3332" max="3333" width="7.85546875" style="5" customWidth="1"/>
    <col min="3334" max="3334" width="11.140625" style="5" customWidth="1"/>
    <col min="3335" max="3336" width="12.42578125" style="5" customWidth="1"/>
    <col min="3337" max="3337" width="12.7109375" style="5" customWidth="1"/>
    <col min="3338" max="3338" width="7.85546875" style="5" customWidth="1"/>
    <col min="3339" max="3339" width="11.85546875" style="5" customWidth="1"/>
    <col min="3340" max="3340" width="7.85546875" style="5"/>
    <col min="3341" max="3341" width="13.42578125" style="5" customWidth="1"/>
    <col min="3342" max="3584" width="7.85546875" style="5"/>
    <col min="3585" max="3585" width="5.28515625" style="5" customWidth="1"/>
    <col min="3586" max="3586" width="32.28515625" style="5" customWidth="1"/>
    <col min="3587" max="3587" width="10" style="5" customWidth="1"/>
    <col min="3588" max="3589" width="7.85546875" style="5" customWidth="1"/>
    <col min="3590" max="3590" width="11.140625" style="5" customWidth="1"/>
    <col min="3591" max="3592" width="12.42578125" style="5" customWidth="1"/>
    <col min="3593" max="3593" width="12.7109375" style="5" customWidth="1"/>
    <col min="3594" max="3594" width="7.85546875" style="5" customWidth="1"/>
    <col min="3595" max="3595" width="11.85546875" style="5" customWidth="1"/>
    <col min="3596" max="3596" width="7.85546875" style="5"/>
    <col min="3597" max="3597" width="13.42578125" style="5" customWidth="1"/>
    <col min="3598" max="3840" width="7.85546875" style="5"/>
    <col min="3841" max="3841" width="5.28515625" style="5" customWidth="1"/>
    <col min="3842" max="3842" width="32.28515625" style="5" customWidth="1"/>
    <col min="3843" max="3843" width="10" style="5" customWidth="1"/>
    <col min="3844" max="3845" width="7.85546875" style="5" customWidth="1"/>
    <col min="3846" max="3846" width="11.140625" style="5" customWidth="1"/>
    <col min="3847" max="3848" width="12.42578125" style="5" customWidth="1"/>
    <col min="3849" max="3849" width="12.7109375" style="5" customWidth="1"/>
    <col min="3850" max="3850" width="7.85546875" style="5" customWidth="1"/>
    <col min="3851" max="3851" width="11.85546875" style="5" customWidth="1"/>
    <col min="3852" max="3852" width="7.85546875" style="5"/>
    <col min="3853" max="3853" width="13.42578125" style="5" customWidth="1"/>
    <col min="3854" max="4096" width="7.85546875" style="5"/>
    <col min="4097" max="4097" width="5.28515625" style="5" customWidth="1"/>
    <col min="4098" max="4098" width="32.28515625" style="5" customWidth="1"/>
    <col min="4099" max="4099" width="10" style="5" customWidth="1"/>
    <col min="4100" max="4101" width="7.85546875" style="5" customWidth="1"/>
    <col min="4102" max="4102" width="11.140625" style="5" customWidth="1"/>
    <col min="4103" max="4104" width="12.42578125" style="5" customWidth="1"/>
    <col min="4105" max="4105" width="12.7109375" style="5" customWidth="1"/>
    <col min="4106" max="4106" width="7.85546875" style="5" customWidth="1"/>
    <col min="4107" max="4107" width="11.85546875" style="5" customWidth="1"/>
    <col min="4108" max="4108" width="7.85546875" style="5"/>
    <col min="4109" max="4109" width="13.42578125" style="5" customWidth="1"/>
    <col min="4110" max="4352" width="7.85546875" style="5"/>
    <col min="4353" max="4353" width="5.28515625" style="5" customWidth="1"/>
    <col min="4354" max="4354" width="32.28515625" style="5" customWidth="1"/>
    <col min="4355" max="4355" width="10" style="5" customWidth="1"/>
    <col min="4356" max="4357" width="7.85546875" style="5" customWidth="1"/>
    <col min="4358" max="4358" width="11.140625" style="5" customWidth="1"/>
    <col min="4359" max="4360" width="12.42578125" style="5" customWidth="1"/>
    <col min="4361" max="4361" width="12.7109375" style="5" customWidth="1"/>
    <col min="4362" max="4362" width="7.85546875" style="5" customWidth="1"/>
    <col min="4363" max="4363" width="11.85546875" style="5" customWidth="1"/>
    <col min="4364" max="4364" width="7.85546875" style="5"/>
    <col min="4365" max="4365" width="13.42578125" style="5" customWidth="1"/>
    <col min="4366" max="4608" width="7.85546875" style="5"/>
    <col min="4609" max="4609" width="5.28515625" style="5" customWidth="1"/>
    <col min="4610" max="4610" width="32.28515625" style="5" customWidth="1"/>
    <col min="4611" max="4611" width="10" style="5" customWidth="1"/>
    <col min="4612" max="4613" width="7.85546875" style="5" customWidth="1"/>
    <col min="4614" max="4614" width="11.140625" style="5" customWidth="1"/>
    <col min="4615" max="4616" width="12.42578125" style="5" customWidth="1"/>
    <col min="4617" max="4617" width="12.7109375" style="5" customWidth="1"/>
    <col min="4618" max="4618" width="7.85546875" style="5" customWidth="1"/>
    <col min="4619" max="4619" width="11.85546875" style="5" customWidth="1"/>
    <col min="4620" max="4620" width="7.85546875" style="5"/>
    <col min="4621" max="4621" width="13.42578125" style="5" customWidth="1"/>
    <col min="4622" max="4864" width="7.85546875" style="5"/>
    <col min="4865" max="4865" width="5.28515625" style="5" customWidth="1"/>
    <col min="4866" max="4866" width="32.28515625" style="5" customWidth="1"/>
    <col min="4867" max="4867" width="10" style="5" customWidth="1"/>
    <col min="4868" max="4869" width="7.85546875" style="5" customWidth="1"/>
    <col min="4870" max="4870" width="11.140625" style="5" customWidth="1"/>
    <col min="4871" max="4872" width="12.42578125" style="5" customWidth="1"/>
    <col min="4873" max="4873" width="12.7109375" style="5" customWidth="1"/>
    <col min="4874" max="4874" width="7.85546875" style="5" customWidth="1"/>
    <col min="4875" max="4875" width="11.85546875" style="5" customWidth="1"/>
    <col min="4876" max="4876" width="7.85546875" style="5"/>
    <col min="4877" max="4877" width="13.42578125" style="5" customWidth="1"/>
    <col min="4878" max="5120" width="7.85546875" style="5"/>
    <col min="5121" max="5121" width="5.28515625" style="5" customWidth="1"/>
    <col min="5122" max="5122" width="32.28515625" style="5" customWidth="1"/>
    <col min="5123" max="5123" width="10" style="5" customWidth="1"/>
    <col min="5124" max="5125" width="7.85546875" style="5" customWidth="1"/>
    <col min="5126" max="5126" width="11.140625" style="5" customWidth="1"/>
    <col min="5127" max="5128" width="12.42578125" style="5" customWidth="1"/>
    <col min="5129" max="5129" width="12.7109375" style="5" customWidth="1"/>
    <col min="5130" max="5130" width="7.85546875" style="5" customWidth="1"/>
    <col min="5131" max="5131" width="11.85546875" style="5" customWidth="1"/>
    <col min="5132" max="5132" width="7.85546875" style="5"/>
    <col min="5133" max="5133" width="13.42578125" style="5" customWidth="1"/>
    <col min="5134" max="5376" width="7.85546875" style="5"/>
    <col min="5377" max="5377" width="5.28515625" style="5" customWidth="1"/>
    <col min="5378" max="5378" width="32.28515625" style="5" customWidth="1"/>
    <col min="5379" max="5379" width="10" style="5" customWidth="1"/>
    <col min="5380" max="5381" width="7.85546875" style="5" customWidth="1"/>
    <col min="5382" max="5382" width="11.140625" style="5" customWidth="1"/>
    <col min="5383" max="5384" width="12.42578125" style="5" customWidth="1"/>
    <col min="5385" max="5385" width="12.7109375" style="5" customWidth="1"/>
    <col min="5386" max="5386" width="7.85546875" style="5" customWidth="1"/>
    <col min="5387" max="5387" width="11.85546875" style="5" customWidth="1"/>
    <col min="5388" max="5388" width="7.85546875" style="5"/>
    <col min="5389" max="5389" width="13.42578125" style="5" customWidth="1"/>
    <col min="5390" max="5632" width="7.85546875" style="5"/>
    <col min="5633" max="5633" width="5.28515625" style="5" customWidth="1"/>
    <col min="5634" max="5634" width="32.28515625" style="5" customWidth="1"/>
    <col min="5635" max="5635" width="10" style="5" customWidth="1"/>
    <col min="5636" max="5637" width="7.85546875" style="5" customWidth="1"/>
    <col min="5638" max="5638" width="11.140625" style="5" customWidth="1"/>
    <col min="5639" max="5640" width="12.42578125" style="5" customWidth="1"/>
    <col min="5641" max="5641" width="12.7109375" style="5" customWidth="1"/>
    <col min="5642" max="5642" width="7.85546875" style="5" customWidth="1"/>
    <col min="5643" max="5643" width="11.85546875" style="5" customWidth="1"/>
    <col min="5644" max="5644" width="7.85546875" style="5"/>
    <col min="5645" max="5645" width="13.42578125" style="5" customWidth="1"/>
    <col min="5646" max="5888" width="7.85546875" style="5"/>
    <col min="5889" max="5889" width="5.28515625" style="5" customWidth="1"/>
    <col min="5890" max="5890" width="32.28515625" style="5" customWidth="1"/>
    <col min="5891" max="5891" width="10" style="5" customWidth="1"/>
    <col min="5892" max="5893" width="7.85546875" style="5" customWidth="1"/>
    <col min="5894" max="5894" width="11.140625" style="5" customWidth="1"/>
    <col min="5895" max="5896" width="12.42578125" style="5" customWidth="1"/>
    <col min="5897" max="5897" width="12.7109375" style="5" customWidth="1"/>
    <col min="5898" max="5898" width="7.85546875" style="5" customWidth="1"/>
    <col min="5899" max="5899" width="11.85546875" style="5" customWidth="1"/>
    <col min="5900" max="5900" width="7.85546875" style="5"/>
    <col min="5901" max="5901" width="13.42578125" style="5" customWidth="1"/>
    <col min="5902" max="6144" width="7.85546875" style="5"/>
    <col min="6145" max="6145" width="5.28515625" style="5" customWidth="1"/>
    <col min="6146" max="6146" width="32.28515625" style="5" customWidth="1"/>
    <col min="6147" max="6147" width="10" style="5" customWidth="1"/>
    <col min="6148" max="6149" width="7.85546875" style="5" customWidth="1"/>
    <col min="6150" max="6150" width="11.140625" style="5" customWidth="1"/>
    <col min="6151" max="6152" width="12.42578125" style="5" customWidth="1"/>
    <col min="6153" max="6153" width="12.7109375" style="5" customWidth="1"/>
    <col min="6154" max="6154" width="7.85546875" style="5" customWidth="1"/>
    <col min="6155" max="6155" width="11.85546875" style="5" customWidth="1"/>
    <col min="6156" max="6156" width="7.85546875" style="5"/>
    <col min="6157" max="6157" width="13.42578125" style="5" customWidth="1"/>
    <col min="6158" max="6400" width="7.85546875" style="5"/>
    <col min="6401" max="6401" width="5.28515625" style="5" customWidth="1"/>
    <col min="6402" max="6402" width="32.28515625" style="5" customWidth="1"/>
    <col min="6403" max="6403" width="10" style="5" customWidth="1"/>
    <col min="6404" max="6405" width="7.85546875" style="5" customWidth="1"/>
    <col min="6406" max="6406" width="11.140625" style="5" customWidth="1"/>
    <col min="6407" max="6408" width="12.42578125" style="5" customWidth="1"/>
    <col min="6409" max="6409" width="12.7109375" style="5" customWidth="1"/>
    <col min="6410" max="6410" width="7.85546875" style="5" customWidth="1"/>
    <col min="6411" max="6411" width="11.85546875" style="5" customWidth="1"/>
    <col min="6412" max="6412" width="7.85546875" style="5"/>
    <col min="6413" max="6413" width="13.42578125" style="5" customWidth="1"/>
    <col min="6414" max="6656" width="7.85546875" style="5"/>
    <col min="6657" max="6657" width="5.28515625" style="5" customWidth="1"/>
    <col min="6658" max="6658" width="32.28515625" style="5" customWidth="1"/>
    <col min="6659" max="6659" width="10" style="5" customWidth="1"/>
    <col min="6660" max="6661" width="7.85546875" style="5" customWidth="1"/>
    <col min="6662" max="6662" width="11.140625" style="5" customWidth="1"/>
    <col min="6663" max="6664" width="12.42578125" style="5" customWidth="1"/>
    <col min="6665" max="6665" width="12.7109375" style="5" customWidth="1"/>
    <col min="6666" max="6666" width="7.85546875" style="5" customWidth="1"/>
    <col min="6667" max="6667" width="11.85546875" style="5" customWidth="1"/>
    <col min="6668" max="6668" width="7.85546875" style="5"/>
    <col min="6669" max="6669" width="13.42578125" style="5" customWidth="1"/>
    <col min="6670" max="6912" width="7.85546875" style="5"/>
    <col min="6913" max="6913" width="5.28515625" style="5" customWidth="1"/>
    <col min="6914" max="6914" width="32.28515625" style="5" customWidth="1"/>
    <col min="6915" max="6915" width="10" style="5" customWidth="1"/>
    <col min="6916" max="6917" width="7.85546875" style="5" customWidth="1"/>
    <col min="6918" max="6918" width="11.140625" style="5" customWidth="1"/>
    <col min="6919" max="6920" width="12.42578125" style="5" customWidth="1"/>
    <col min="6921" max="6921" width="12.7109375" style="5" customWidth="1"/>
    <col min="6922" max="6922" width="7.85546875" style="5" customWidth="1"/>
    <col min="6923" max="6923" width="11.85546875" style="5" customWidth="1"/>
    <col min="6924" max="6924" width="7.85546875" style="5"/>
    <col min="6925" max="6925" width="13.42578125" style="5" customWidth="1"/>
    <col min="6926" max="7168" width="7.85546875" style="5"/>
    <col min="7169" max="7169" width="5.28515625" style="5" customWidth="1"/>
    <col min="7170" max="7170" width="32.28515625" style="5" customWidth="1"/>
    <col min="7171" max="7171" width="10" style="5" customWidth="1"/>
    <col min="7172" max="7173" width="7.85546875" style="5" customWidth="1"/>
    <col min="7174" max="7174" width="11.140625" style="5" customWidth="1"/>
    <col min="7175" max="7176" width="12.42578125" style="5" customWidth="1"/>
    <col min="7177" max="7177" width="12.7109375" style="5" customWidth="1"/>
    <col min="7178" max="7178" width="7.85546875" style="5" customWidth="1"/>
    <col min="7179" max="7179" width="11.85546875" style="5" customWidth="1"/>
    <col min="7180" max="7180" width="7.85546875" style="5"/>
    <col min="7181" max="7181" width="13.42578125" style="5" customWidth="1"/>
    <col min="7182" max="7424" width="7.85546875" style="5"/>
    <col min="7425" max="7425" width="5.28515625" style="5" customWidth="1"/>
    <col min="7426" max="7426" width="32.28515625" style="5" customWidth="1"/>
    <col min="7427" max="7427" width="10" style="5" customWidth="1"/>
    <col min="7428" max="7429" width="7.85546875" style="5" customWidth="1"/>
    <col min="7430" max="7430" width="11.140625" style="5" customWidth="1"/>
    <col min="7431" max="7432" width="12.42578125" style="5" customWidth="1"/>
    <col min="7433" max="7433" width="12.7109375" style="5" customWidth="1"/>
    <col min="7434" max="7434" width="7.85546875" style="5" customWidth="1"/>
    <col min="7435" max="7435" width="11.85546875" style="5" customWidth="1"/>
    <col min="7436" max="7436" width="7.85546875" style="5"/>
    <col min="7437" max="7437" width="13.42578125" style="5" customWidth="1"/>
    <col min="7438" max="7680" width="7.85546875" style="5"/>
    <col min="7681" max="7681" width="5.28515625" style="5" customWidth="1"/>
    <col min="7682" max="7682" width="32.28515625" style="5" customWidth="1"/>
    <col min="7683" max="7683" width="10" style="5" customWidth="1"/>
    <col min="7684" max="7685" width="7.85546875" style="5" customWidth="1"/>
    <col min="7686" max="7686" width="11.140625" style="5" customWidth="1"/>
    <col min="7687" max="7688" width="12.42578125" style="5" customWidth="1"/>
    <col min="7689" max="7689" width="12.7109375" style="5" customWidth="1"/>
    <col min="7690" max="7690" width="7.85546875" style="5" customWidth="1"/>
    <col min="7691" max="7691" width="11.85546875" style="5" customWidth="1"/>
    <col min="7692" max="7692" width="7.85546875" style="5"/>
    <col min="7693" max="7693" width="13.42578125" style="5" customWidth="1"/>
    <col min="7694" max="7936" width="7.85546875" style="5"/>
    <col min="7937" max="7937" width="5.28515625" style="5" customWidth="1"/>
    <col min="7938" max="7938" width="32.28515625" style="5" customWidth="1"/>
    <col min="7939" max="7939" width="10" style="5" customWidth="1"/>
    <col min="7940" max="7941" width="7.85546875" style="5" customWidth="1"/>
    <col min="7942" max="7942" width="11.140625" style="5" customWidth="1"/>
    <col min="7943" max="7944" width="12.42578125" style="5" customWidth="1"/>
    <col min="7945" max="7945" width="12.7109375" style="5" customWidth="1"/>
    <col min="7946" max="7946" width="7.85546875" style="5" customWidth="1"/>
    <col min="7947" max="7947" width="11.85546875" style="5" customWidth="1"/>
    <col min="7948" max="7948" width="7.85546875" style="5"/>
    <col min="7949" max="7949" width="13.42578125" style="5" customWidth="1"/>
    <col min="7950" max="8192" width="7.85546875" style="5"/>
    <col min="8193" max="8193" width="5.28515625" style="5" customWidth="1"/>
    <col min="8194" max="8194" width="32.28515625" style="5" customWidth="1"/>
    <col min="8195" max="8195" width="10" style="5" customWidth="1"/>
    <col min="8196" max="8197" width="7.85546875" style="5" customWidth="1"/>
    <col min="8198" max="8198" width="11.140625" style="5" customWidth="1"/>
    <col min="8199" max="8200" width="12.42578125" style="5" customWidth="1"/>
    <col min="8201" max="8201" width="12.7109375" style="5" customWidth="1"/>
    <col min="8202" max="8202" width="7.85546875" style="5" customWidth="1"/>
    <col min="8203" max="8203" width="11.85546875" style="5" customWidth="1"/>
    <col min="8204" max="8204" width="7.85546875" style="5"/>
    <col min="8205" max="8205" width="13.42578125" style="5" customWidth="1"/>
    <col min="8206" max="8448" width="7.85546875" style="5"/>
    <col min="8449" max="8449" width="5.28515625" style="5" customWidth="1"/>
    <col min="8450" max="8450" width="32.28515625" style="5" customWidth="1"/>
    <col min="8451" max="8451" width="10" style="5" customWidth="1"/>
    <col min="8452" max="8453" width="7.85546875" style="5" customWidth="1"/>
    <col min="8454" max="8454" width="11.140625" style="5" customWidth="1"/>
    <col min="8455" max="8456" width="12.42578125" style="5" customWidth="1"/>
    <col min="8457" max="8457" width="12.7109375" style="5" customWidth="1"/>
    <col min="8458" max="8458" width="7.85546875" style="5" customWidth="1"/>
    <col min="8459" max="8459" width="11.85546875" style="5" customWidth="1"/>
    <col min="8460" max="8460" width="7.85546875" style="5"/>
    <col min="8461" max="8461" width="13.42578125" style="5" customWidth="1"/>
    <col min="8462" max="8704" width="7.85546875" style="5"/>
    <col min="8705" max="8705" width="5.28515625" style="5" customWidth="1"/>
    <col min="8706" max="8706" width="32.28515625" style="5" customWidth="1"/>
    <col min="8707" max="8707" width="10" style="5" customWidth="1"/>
    <col min="8708" max="8709" width="7.85546875" style="5" customWidth="1"/>
    <col min="8710" max="8710" width="11.140625" style="5" customWidth="1"/>
    <col min="8711" max="8712" width="12.42578125" style="5" customWidth="1"/>
    <col min="8713" max="8713" width="12.7109375" style="5" customWidth="1"/>
    <col min="8714" max="8714" width="7.85546875" style="5" customWidth="1"/>
    <col min="8715" max="8715" width="11.85546875" style="5" customWidth="1"/>
    <col min="8716" max="8716" width="7.85546875" style="5"/>
    <col min="8717" max="8717" width="13.42578125" style="5" customWidth="1"/>
    <col min="8718" max="8960" width="7.85546875" style="5"/>
    <col min="8961" max="8961" width="5.28515625" style="5" customWidth="1"/>
    <col min="8962" max="8962" width="32.28515625" style="5" customWidth="1"/>
    <col min="8963" max="8963" width="10" style="5" customWidth="1"/>
    <col min="8964" max="8965" width="7.85546875" style="5" customWidth="1"/>
    <col min="8966" max="8966" width="11.140625" style="5" customWidth="1"/>
    <col min="8967" max="8968" width="12.42578125" style="5" customWidth="1"/>
    <col min="8969" max="8969" width="12.7109375" style="5" customWidth="1"/>
    <col min="8970" max="8970" width="7.85546875" style="5" customWidth="1"/>
    <col min="8971" max="8971" width="11.85546875" style="5" customWidth="1"/>
    <col min="8972" max="8972" width="7.85546875" style="5"/>
    <col min="8973" max="8973" width="13.42578125" style="5" customWidth="1"/>
    <col min="8974" max="9216" width="7.85546875" style="5"/>
    <col min="9217" max="9217" width="5.28515625" style="5" customWidth="1"/>
    <col min="9218" max="9218" width="32.28515625" style="5" customWidth="1"/>
    <col min="9219" max="9219" width="10" style="5" customWidth="1"/>
    <col min="9220" max="9221" width="7.85546875" style="5" customWidth="1"/>
    <col min="9222" max="9222" width="11.140625" style="5" customWidth="1"/>
    <col min="9223" max="9224" width="12.42578125" style="5" customWidth="1"/>
    <col min="9225" max="9225" width="12.7109375" style="5" customWidth="1"/>
    <col min="9226" max="9226" width="7.85546875" style="5" customWidth="1"/>
    <col min="9227" max="9227" width="11.85546875" style="5" customWidth="1"/>
    <col min="9228" max="9228" width="7.85546875" style="5"/>
    <col min="9229" max="9229" width="13.42578125" style="5" customWidth="1"/>
    <col min="9230" max="9472" width="7.85546875" style="5"/>
    <col min="9473" max="9473" width="5.28515625" style="5" customWidth="1"/>
    <col min="9474" max="9474" width="32.28515625" style="5" customWidth="1"/>
    <col min="9475" max="9475" width="10" style="5" customWidth="1"/>
    <col min="9476" max="9477" width="7.85546875" style="5" customWidth="1"/>
    <col min="9478" max="9478" width="11.140625" style="5" customWidth="1"/>
    <col min="9479" max="9480" width="12.42578125" style="5" customWidth="1"/>
    <col min="9481" max="9481" width="12.7109375" style="5" customWidth="1"/>
    <col min="9482" max="9482" width="7.85546875" style="5" customWidth="1"/>
    <col min="9483" max="9483" width="11.85546875" style="5" customWidth="1"/>
    <col min="9484" max="9484" width="7.85546875" style="5"/>
    <col min="9485" max="9485" width="13.42578125" style="5" customWidth="1"/>
    <col min="9486" max="9728" width="7.85546875" style="5"/>
    <col min="9729" max="9729" width="5.28515625" style="5" customWidth="1"/>
    <col min="9730" max="9730" width="32.28515625" style="5" customWidth="1"/>
    <col min="9731" max="9731" width="10" style="5" customWidth="1"/>
    <col min="9732" max="9733" width="7.85546875" style="5" customWidth="1"/>
    <col min="9734" max="9734" width="11.140625" style="5" customWidth="1"/>
    <col min="9735" max="9736" width="12.42578125" style="5" customWidth="1"/>
    <col min="9737" max="9737" width="12.7109375" style="5" customWidth="1"/>
    <col min="9738" max="9738" width="7.85546875" style="5" customWidth="1"/>
    <col min="9739" max="9739" width="11.85546875" style="5" customWidth="1"/>
    <col min="9740" max="9740" width="7.85546875" style="5"/>
    <col min="9741" max="9741" width="13.42578125" style="5" customWidth="1"/>
    <col min="9742" max="9984" width="7.85546875" style="5"/>
    <col min="9985" max="9985" width="5.28515625" style="5" customWidth="1"/>
    <col min="9986" max="9986" width="32.28515625" style="5" customWidth="1"/>
    <col min="9987" max="9987" width="10" style="5" customWidth="1"/>
    <col min="9988" max="9989" width="7.85546875" style="5" customWidth="1"/>
    <col min="9990" max="9990" width="11.140625" style="5" customWidth="1"/>
    <col min="9991" max="9992" width="12.42578125" style="5" customWidth="1"/>
    <col min="9993" max="9993" width="12.7109375" style="5" customWidth="1"/>
    <col min="9994" max="9994" width="7.85546875" style="5" customWidth="1"/>
    <col min="9995" max="9995" width="11.85546875" style="5" customWidth="1"/>
    <col min="9996" max="9996" width="7.85546875" style="5"/>
    <col min="9997" max="9997" width="13.42578125" style="5" customWidth="1"/>
    <col min="9998" max="10240" width="7.85546875" style="5"/>
    <col min="10241" max="10241" width="5.28515625" style="5" customWidth="1"/>
    <col min="10242" max="10242" width="32.28515625" style="5" customWidth="1"/>
    <col min="10243" max="10243" width="10" style="5" customWidth="1"/>
    <col min="10244" max="10245" width="7.85546875" style="5" customWidth="1"/>
    <col min="10246" max="10246" width="11.140625" style="5" customWidth="1"/>
    <col min="10247" max="10248" width="12.42578125" style="5" customWidth="1"/>
    <col min="10249" max="10249" width="12.7109375" style="5" customWidth="1"/>
    <col min="10250" max="10250" width="7.85546875" style="5" customWidth="1"/>
    <col min="10251" max="10251" width="11.85546875" style="5" customWidth="1"/>
    <col min="10252" max="10252" width="7.85546875" style="5"/>
    <col min="10253" max="10253" width="13.42578125" style="5" customWidth="1"/>
    <col min="10254" max="10496" width="7.85546875" style="5"/>
    <col min="10497" max="10497" width="5.28515625" style="5" customWidth="1"/>
    <col min="10498" max="10498" width="32.28515625" style="5" customWidth="1"/>
    <col min="10499" max="10499" width="10" style="5" customWidth="1"/>
    <col min="10500" max="10501" width="7.85546875" style="5" customWidth="1"/>
    <col min="10502" max="10502" width="11.140625" style="5" customWidth="1"/>
    <col min="10503" max="10504" width="12.42578125" style="5" customWidth="1"/>
    <col min="10505" max="10505" width="12.7109375" style="5" customWidth="1"/>
    <col min="10506" max="10506" width="7.85546875" style="5" customWidth="1"/>
    <col min="10507" max="10507" width="11.85546875" style="5" customWidth="1"/>
    <col min="10508" max="10508" width="7.85546875" style="5"/>
    <col min="10509" max="10509" width="13.42578125" style="5" customWidth="1"/>
    <col min="10510" max="10752" width="7.85546875" style="5"/>
    <col min="10753" max="10753" width="5.28515625" style="5" customWidth="1"/>
    <col min="10754" max="10754" width="32.28515625" style="5" customWidth="1"/>
    <col min="10755" max="10755" width="10" style="5" customWidth="1"/>
    <col min="10756" max="10757" width="7.85546875" style="5" customWidth="1"/>
    <col min="10758" max="10758" width="11.140625" style="5" customWidth="1"/>
    <col min="10759" max="10760" width="12.42578125" style="5" customWidth="1"/>
    <col min="10761" max="10761" width="12.7109375" style="5" customWidth="1"/>
    <col min="10762" max="10762" width="7.85546875" style="5" customWidth="1"/>
    <col min="10763" max="10763" width="11.85546875" style="5" customWidth="1"/>
    <col min="10764" max="10764" width="7.85546875" style="5"/>
    <col min="10765" max="10765" width="13.42578125" style="5" customWidth="1"/>
    <col min="10766" max="11008" width="7.85546875" style="5"/>
    <col min="11009" max="11009" width="5.28515625" style="5" customWidth="1"/>
    <col min="11010" max="11010" width="32.28515625" style="5" customWidth="1"/>
    <col min="11011" max="11011" width="10" style="5" customWidth="1"/>
    <col min="11012" max="11013" width="7.85546875" style="5" customWidth="1"/>
    <col min="11014" max="11014" width="11.140625" style="5" customWidth="1"/>
    <col min="11015" max="11016" width="12.42578125" style="5" customWidth="1"/>
    <col min="11017" max="11017" width="12.7109375" style="5" customWidth="1"/>
    <col min="11018" max="11018" width="7.85546875" style="5" customWidth="1"/>
    <col min="11019" max="11019" width="11.85546875" style="5" customWidth="1"/>
    <col min="11020" max="11020" width="7.85546875" style="5"/>
    <col min="11021" max="11021" width="13.42578125" style="5" customWidth="1"/>
    <col min="11022" max="11264" width="7.85546875" style="5"/>
    <col min="11265" max="11265" width="5.28515625" style="5" customWidth="1"/>
    <col min="11266" max="11266" width="32.28515625" style="5" customWidth="1"/>
    <col min="11267" max="11267" width="10" style="5" customWidth="1"/>
    <col min="11268" max="11269" width="7.85546875" style="5" customWidth="1"/>
    <col min="11270" max="11270" width="11.140625" style="5" customWidth="1"/>
    <col min="11271" max="11272" width="12.42578125" style="5" customWidth="1"/>
    <col min="11273" max="11273" width="12.7109375" style="5" customWidth="1"/>
    <col min="11274" max="11274" width="7.85546875" style="5" customWidth="1"/>
    <col min="11275" max="11275" width="11.85546875" style="5" customWidth="1"/>
    <col min="11276" max="11276" width="7.85546875" style="5"/>
    <col min="11277" max="11277" width="13.42578125" style="5" customWidth="1"/>
    <col min="11278" max="11520" width="7.85546875" style="5"/>
    <col min="11521" max="11521" width="5.28515625" style="5" customWidth="1"/>
    <col min="11522" max="11522" width="32.28515625" style="5" customWidth="1"/>
    <col min="11523" max="11523" width="10" style="5" customWidth="1"/>
    <col min="11524" max="11525" width="7.85546875" style="5" customWidth="1"/>
    <col min="11526" max="11526" width="11.140625" style="5" customWidth="1"/>
    <col min="11527" max="11528" width="12.42578125" style="5" customWidth="1"/>
    <col min="11529" max="11529" width="12.7109375" style="5" customWidth="1"/>
    <col min="11530" max="11530" width="7.85546875" style="5" customWidth="1"/>
    <col min="11531" max="11531" width="11.85546875" style="5" customWidth="1"/>
    <col min="11532" max="11532" width="7.85546875" style="5"/>
    <col min="11533" max="11533" width="13.42578125" style="5" customWidth="1"/>
    <col min="11534" max="11776" width="7.85546875" style="5"/>
    <col min="11777" max="11777" width="5.28515625" style="5" customWidth="1"/>
    <col min="11778" max="11778" width="32.28515625" style="5" customWidth="1"/>
    <col min="11779" max="11779" width="10" style="5" customWidth="1"/>
    <col min="11780" max="11781" width="7.85546875" style="5" customWidth="1"/>
    <col min="11782" max="11782" width="11.140625" style="5" customWidth="1"/>
    <col min="11783" max="11784" width="12.42578125" style="5" customWidth="1"/>
    <col min="11785" max="11785" width="12.7109375" style="5" customWidth="1"/>
    <col min="11786" max="11786" width="7.85546875" style="5" customWidth="1"/>
    <col min="11787" max="11787" width="11.85546875" style="5" customWidth="1"/>
    <col min="11788" max="11788" width="7.85546875" style="5"/>
    <col min="11789" max="11789" width="13.42578125" style="5" customWidth="1"/>
    <col min="11790" max="12032" width="7.85546875" style="5"/>
    <col min="12033" max="12033" width="5.28515625" style="5" customWidth="1"/>
    <col min="12034" max="12034" width="32.28515625" style="5" customWidth="1"/>
    <col min="12035" max="12035" width="10" style="5" customWidth="1"/>
    <col min="12036" max="12037" width="7.85546875" style="5" customWidth="1"/>
    <col min="12038" max="12038" width="11.140625" style="5" customWidth="1"/>
    <col min="12039" max="12040" width="12.42578125" style="5" customWidth="1"/>
    <col min="12041" max="12041" width="12.7109375" style="5" customWidth="1"/>
    <col min="12042" max="12042" width="7.85546875" style="5" customWidth="1"/>
    <col min="12043" max="12043" width="11.85546875" style="5" customWidth="1"/>
    <col min="12044" max="12044" width="7.85546875" style="5"/>
    <col min="12045" max="12045" width="13.42578125" style="5" customWidth="1"/>
    <col min="12046" max="12288" width="7.85546875" style="5"/>
    <col min="12289" max="12289" width="5.28515625" style="5" customWidth="1"/>
    <col min="12290" max="12290" width="32.28515625" style="5" customWidth="1"/>
    <col min="12291" max="12291" width="10" style="5" customWidth="1"/>
    <col min="12292" max="12293" width="7.85546875" style="5" customWidth="1"/>
    <col min="12294" max="12294" width="11.140625" style="5" customWidth="1"/>
    <col min="12295" max="12296" width="12.42578125" style="5" customWidth="1"/>
    <col min="12297" max="12297" width="12.7109375" style="5" customWidth="1"/>
    <col min="12298" max="12298" width="7.85546875" style="5" customWidth="1"/>
    <col min="12299" max="12299" width="11.85546875" style="5" customWidth="1"/>
    <col min="12300" max="12300" width="7.85546875" style="5"/>
    <col min="12301" max="12301" width="13.42578125" style="5" customWidth="1"/>
    <col min="12302" max="12544" width="7.85546875" style="5"/>
    <col min="12545" max="12545" width="5.28515625" style="5" customWidth="1"/>
    <col min="12546" max="12546" width="32.28515625" style="5" customWidth="1"/>
    <col min="12547" max="12547" width="10" style="5" customWidth="1"/>
    <col min="12548" max="12549" width="7.85546875" style="5" customWidth="1"/>
    <col min="12550" max="12550" width="11.140625" style="5" customWidth="1"/>
    <col min="12551" max="12552" width="12.42578125" style="5" customWidth="1"/>
    <col min="12553" max="12553" width="12.7109375" style="5" customWidth="1"/>
    <col min="12554" max="12554" width="7.85546875" style="5" customWidth="1"/>
    <col min="12555" max="12555" width="11.85546875" style="5" customWidth="1"/>
    <col min="12556" max="12556" width="7.85546875" style="5"/>
    <col min="12557" max="12557" width="13.42578125" style="5" customWidth="1"/>
    <col min="12558" max="12800" width="7.85546875" style="5"/>
    <col min="12801" max="12801" width="5.28515625" style="5" customWidth="1"/>
    <col min="12802" max="12802" width="32.28515625" style="5" customWidth="1"/>
    <col min="12803" max="12803" width="10" style="5" customWidth="1"/>
    <col min="12804" max="12805" width="7.85546875" style="5" customWidth="1"/>
    <col min="12806" max="12806" width="11.140625" style="5" customWidth="1"/>
    <col min="12807" max="12808" width="12.42578125" style="5" customWidth="1"/>
    <col min="12809" max="12809" width="12.7109375" style="5" customWidth="1"/>
    <col min="12810" max="12810" width="7.85546875" style="5" customWidth="1"/>
    <col min="12811" max="12811" width="11.85546875" style="5" customWidth="1"/>
    <col min="12812" max="12812" width="7.85546875" style="5"/>
    <col min="12813" max="12813" width="13.42578125" style="5" customWidth="1"/>
    <col min="12814" max="13056" width="7.85546875" style="5"/>
    <col min="13057" max="13057" width="5.28515625" style="5" customWidth="1"/>
    <col min="13058" max="13058" width="32.28515625" style="5" customWidth="1"/>
    <col min="13059" max="13059" width="10" style="5" customWidth="1"/>
    <col min="13060" max="13061" width="7.85546875" style="5" customWidth="1"/>
    <col min="13062" max="13062" width="11.140625" style="5" customWidth="1"/>
    <col min="13063" max="13064" width="12.42578125" style="5" customWidth="1"/>
    <col min="13065" max="13065" width="12.7109375" style="5" customWidth="1"/>
    <col min="13066" max="13066" width="7.85546875" style="5" customWidth="1"/>
    <col min="13067" max="13067" width="11.85546875" style="5" customWidth="1"/>
    <col min="13068" max="13068" width="7.85546875" style="5"/>
    <col min="13069" max="13069" width="13.42578125" style="5" customWidth="1"/>
    <col min="13070" max="13312" width="7.85546875" style="5"/>
    <col min="13313" max="13313" width="5.28515625" style="5" customWidth="1"/>
    <col min="13314" max="13314" width="32.28515625" style="5" customWidth="1"/>
    <col min="13315" max="13315" width="10" style="5" customWidth="1"/>
    <col min="13316" max="13317" width="7.85546875" style="5" customWidth="1"/>
    <col min="13318" max="13318" width="11.140625" style="5" customWidth="1"/>
    <col min="13319" max="13320" width="12.42578125" style="5" customWidth="1"/>
    <col min="13321" max="13321" width="12.7109375" style="5" customWidth="1"/>
    <col min="13322" max="13322" width="7.85546875" style="5" customWidth="1"/>
    <col min="13323" max="13323" width="11.85546875" style="5" customWidth="1"/>
    <col min="13324" max="13324" width="7.85546875" style="5"/>
    <col min="13325" max="13325" width="13.42578125" style="5" customWidth="1"/>
    <col min="13326" max="13568" width="7.85546875" style="5"/>
    <col min="13569" max="13569" width="5.28515625" style="5" customWidth="1"/>
    <col min="13570" max="13570" width="32.28515625" style="5" customWidth="1"/>
    <col min="13571" max="13571" width="10" style="5" customWidth="1"/>
    <col min="13572" max="13573" width="7.85546875" style="5" customWidth="1"/>
    <col min="13574" max="13574" width="11.140625" style="5" customWidth="1"/>
    <col min="13575" max="13576" width="12.42578125" style="5" customWidth="1"/>
    <col min="13577" max="13577" width="12.7109375" style="5" customWidth="1"/>
    <col min="13578" max="13578" width="7.85546875" style="5" customWidth="1"/>
    <col min="13579" max="13579" width="11.85546875" style="5" customWidth="1"/>
    <col min="13580" max="13580" width="7.85546875" style="5"/>
    <col min="13581" max="13581" width="13.42578125" style="5" customWidth="1"/>
    <col min="13582" max="13824" width="7.85546875" style="5"/>
    <col min="13825" max="13825" width="5.28515625" style="5" customWidth="1"/>
    <col min="13826" max="13826" width="32.28515625" style="5" customWidth="1"/>
    <col min="13827" max="13827" width="10" style="5" customWidth="1"/>
    <col min="13828" max="13829" width="7.85546875" style="5" customWidth="1"/>
    <col min="13830" max="13830" width="11.140625" style="5" customWidth="1"/>
    <col min="13831" max="13832" width="12.42578125" style="5" customWidth="1"/>
    <col min="13833" max="13833" width="12.7109375" style="5" customWidth="1"/>
    <col min="13834" max="13834" width="7.85546875" style="5" customWidth="1"/>
    <col min="13835" max="13835" width="11.85546875" style="5" customWidth="1"/>
    <col min="13836" max="13836" width="7.85546875" style="5"/>
    <col min="13837" max="13837" width="13.42578125" style="5" customWidth="1"/>
    <col min="13838" max="14080" width="7.85546875" style="5"/>
    <col min="14081" max="14081" width="5.28515625" style="5" customWidth="1"/>
    <col min="14082" max="14082" width="32.28515625" style="5" customWidth="1"/>
    <col min="14083" max="14083" width="10" style="5" customWidth="1"/>
    <col min="14084" max="14085" width="7.85546875" style="5" customWidth="1"/>
    <col min="14086" max="14086" width="11.140625" style="5" customWidth="1"/>
    <col min="14087" max="14088" width="12.42578125" style="5" customWidth="1"/>
    <col min="14089" max="14089" width="12.7109375" style="5" customWidth="1"/>
    <col min="14090" max="14090" width="7.85546875" style="5" customWidth="1"/>
    <col min="14091" max="14091" width="11.85546875" style="5" customWidth="1"/>
    <col min="14092" max="14092" width="7.85546875" style="5"/>
    <col min="14093" max="14093" width="13.42578125" style="5" customWidth="1"/>
    <col min="14094" max="14336" width="7.85546875" style="5"/>
    <col min="14337" max="14337" width="5.28515625" style="5" customWidth="1"/>
    <col min="14338" max="14338" width="32.28515625" style="5" customWidth="1"/>
    <col min="14339" max="14339" width="10" style="5" customWidth="1"/>
    <col min="14340" max="14341" width="7.85546875" style="5" customWidth="1"/>
    <col min="14342" max="14342" width="11.140625" style="5" customWidth="1"/>
    <col min="14343" max="14344" width="12.42578125" style="5" customWidth="1"/>
    <col min="14345" max="14345" width="12.7109375" style="5" customWidth="1"/>
    <col min="14346" max="14346" width="7.85546875" style="5" customWidth="1"/>
    <col min="14347" max="14347" width="11.85546875" style="5" customWidth="1"/>
    <col min="14348" max="14348" width="7.85546875" style="5"/>
    <col min="14349" max="14349" width="13.42578125" style="5" customWidth="1"/>
    <col min="14350" max="14592" width="7.85546875" style="5"/>
    <col min="14593" max="14593" width="5.28515625" style="5" customWidth="1"/>
    <col min="14594" max="14594" width="32.28515625" style="5" customWidth="1"/>
    <col min="14595" max="14595" width="10" style="5" customWidth="1"/>
    <col min="14596" max="14597" width="7.85546875" style="5" customWidth="1"/>
    <col min="14598" max="14598" width="11.140625" style="5" customWidth="1"/>
    <col min="14599" max="14600" width="12.42578125" style="5" customWidth="1"/>
    <col min="14601" max="14601" width="12.7109375" style="5" customWidth="1"/>
    <col min="14602" max="14602" width="7.85546875" style="5" customWidth="1"/>
    <col min="14603" max="14603" width="11.85546875" style="5" customWidth="1"/>
    <col min="14604" max="14604" width="7.85546875" style="5"/>
    <col min="14605" max="14605" width="13.42578125" style="5" customWidth="1"/>
    <col min="14606" max="14848" width="7.85546875" style="5"/>
    <col min="14849" max="14849" width="5.28515625" style="5" customWidth="1"/>
    <col min="14850" max="14850" width="32.28515625" style="5" customWidth="1"/>
    <col min="14851" max="14851" width="10" style="5" customWidth="1"/>
    <col min="14852" max="14853" width="7.85546875" style="5" customWidth="1"/>
    <col min="14854" max="14854" width="11.140625" style="5" customWidth="1"/>
    <col min="14855" max="14856" width="12.42578125" style="5" customWidth="1"/>
    <col min="14857" max="14857" width="12.7109375" style="5" customWidth="1"/>
    <col min="14858" max="14858" width="7.85546875" style="5" customWidth="1"/>
    <col min="14859" max="14859" width="11.85546875" style="5" customWidth="1"/>
    <col min="14860" max="14860" width="7.85546875" style="5"/>
    <col min="14861" max="14861" width="13.42578125" style="5" customWidth="1"/>
    <col min="14862" max="15104" width="7.85546875" style="5"/>
    <col min="15105" max="15105" width="5.28515625" style="5" customWidth="1"/>
    <col min="15106" max="15106" width="32.28515625" style="5" customWidth="1"/>
    <col min="15107" max="15107" width="10" style="5" customWidth="1"/>
    <col min="15108" max="15109" width="7.85546875" style="5" customWidth="1"/>
    <col min="15110" max="15110" width="11.140625" style="5" customWidth="1"/>
    <col min="15111" max="15112" width="12.42578125" style="5" customWidth="1"/>
    <col min="15113" max="15113" width="12.7109375" style="5" customWidth="1"/>
    <col min="15114" max="15114" width="7.85546875" style="5" customWidth="1"/>
    <col min="15115" max="15115" width="11.85546875" style="5" customWidth="1"/>
    <col min="15116" max="15116" width="7.85546875" style="5"/>
    <col min="15117" max="15117" width="13.42578125" style="5" customWidth="1"/>
    <col min="15118" max="15360" width="7.85546875" style="5"/>
    <col min="15361" max="15361" width="5.28515625" style="5" customWidth="1"/>
    <col min="15362" max="15362" width="32.28515625" style="5" customWidth="1"/>
    <col min="15363" max="15363" width="10" style="5" customWidth="1"/>
    <col min="15364" max="15365" width="7.85546875" style="5" customWidth="1"/>
    <col min="15366" max="15366" width="11.140625" style="5" customWidth="1"/>
    <col min="15367" max="15368" width="12.42578125" style="5" customWidth="1"/>
    <col min="15369" max="15369" width="12.7109375" style="5" customWidth="1"/>
    <col min="15370" max="15370" width="7.85546875" style="5" customWidth="1"/>
    <col min="15371" max="15371" width="11.85546875" style="5" customWidth="1"/>
    <col min="15372" max="15372" width="7.85546875" style="5"/>
    <col min="15373" max="15373" width="13.42578125" style="5" customWidth="1"/>
    <col min="15374" max="15616" width="7.85546875" style="5"/>
    <col min="15617" max="15617" width="5.28515625" style="5" customWidth="1"/>
    <col min="15618" max="15618" width="32.28515625" style="5" customWidth="1"/>
    <col min="15619" max="15619" width="10" style="5" customWidth="1"/>
    <col min="15620" max="15621" width="7.85546875" style="5" customWidth="1"/>
    <col min="15622" max="15622" width="11.140625" style="5" customWidth="1"/>
    <col min="15623" max="15624" width="12.42578125" style="5" customWidth="1"/>
    <col min="15625" max="15625" width="12.7109375" style="5" customWidth="1"/>
    <col min="15626" max="15626" width="7.85546875" style="5" customWidth="1"/>
    <col min="15627" max="15627" width="11.85546875" style="5" customWidth="1"/>
    <col min="15628" max="15628" width="7.85546875" style="5"/>
    <col min="15629" max="15629" width="13.42578125" style="5" customWidth="1"/>
    <col min="15630" max="15872" width="7.85546875" style="5"/>
    <col min="15873" max="15873" width="5.28515625" style="5" customWidth="1"/>
    <col min="15874" max="15874" width="32.28515625" style="5" customWidth="1"/>
    <col min="15875" max="15875" width="10" style="5" customWidth="1"/>
    <col min="15876" max="15877" width="7.85546875" style="5" customWidth="1"/>
    <col min="15878" max="15878" width="11.140625" style="5" customWidth="1"/>
    <col min="15879" max="15880" width="12.42578125" style="5" customWidth="1"/>
    <col min="15881" max="15881" width="12.7109375" style="5" customWidth="1"/>
    <col min="15882" max="15882" width="7.85546875" style="5" customWidth="1"/>
    <col min="15883" max="15883" width="11.85546875" style="5" customWidth="1"/>
    <col min="15884" max="15884" width="7.85546875" style="5"/>
    <col min="15885" max="15885" width="13.42578125" style="5" customWidth="1"/>
    <col min="15886" max="16128" width="7.85546875" style="5"/>
    <col min="16129" max="16129" width="5.28515625" style="5" customWidth="1"/>
    <col min="16130" max="16130" width="32.28515625" style="5" customWidth="1"/>
    <col min="16131" max="16131" width="10" style="5" customWidth="1"/>
    <col min="16132" max="16133" width="7.85546875" style="5" customWidth="1"/>
    <col min="16134" max="16134" width="11.140625" style="5" customWidth="1"/>
    <col min="16135" max="16136" width="12.42578125" style="5" customWidth="1"/>
    <col min="16137" max="16137" width="12.7109375" style="5" customWidth="1"/>
    <col min="16138" max="16138" width="7.85546875" style="5" customWidth="1"/>
    <col min="16139" max="16139" width="11.85546875" style="5" customWidth="1"/>
    <col min="16140" max="16140" width="7.85546875" style="5"/>
    <col min="16141" max="16141" width="13.42578125" style="5" customWidth="1"/>
    <col min="16142" max="16384" width="7.85546875" style="5"/>
  </cols>
  <sheetData>
    <row r="1" spans="1:11" ht="15">
      <c r="D1" s="17" t="s">
        <v>0</v>
      </c>
      <c r="E1" s="17"/>
      <c r="F1" s="18"/>
      <c r="G1" s="18"/>
      <c r="H1" s="18"/>
    </row>
    <row r="4" spans="1:11" ht="1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7" t="s">
        <v>6</v>
      </c>
      <c r="G4" s="27" t="s">
        <v>7</v>
      </c>
      <c r="H4" s="27" t="s">
        <v>8</v>
      </c>
      <c r="I4" s="27" t="s">
        <v>7</v>
      </c>
      <c r="J4" s="26" t="s">
        <v>9</v>
      </c>
      <c r="K4" s="27" t="s">
        <v>8</v>
      </c>
    </row>
    <row r="5" spans="1:11" ht="15">
      <c r="A5" s="28" t="s">
        <v>10</v>
      </c>
      <c r="B5" s="28" t="s">
        <v>11</v>
      </c>
      <c r="C5" s="28" t="s">
        <v>12</v>
      </c>
      <c r="D5" s="28"/>
      <c r="E5" s="28"/>
      <c r="F5" s="29"/>
      <c r="G5" s="29" t="s">
        <v>13</v>
      </c>
      <c r="H5" s="29" t="s">
        <v>14</v>
      </c>
      <c r="I5" s="29" t="s">
        <v>15</v>
      </c>
      <c r="J5" s="28" t="s">
        <v>16</v>
      </c>
      <c r="K5" s="29" t="s">
        <v>17</v>
      </c>
    </row>
    <row r="6" spans="1:11">
      <c r="A6" s="1">
        <v>1</v>
      </c>
      <c r="B6" s="1" t="s">
        <v>18</v>
      </c>
      <c r="C6" s="2"/>
      <c r="D6" s="2"/>
      <c r="E6" s="2"/>
      <c r="F6" s="3"/>
      <c r="G6" s="3">
        <v>9432544</v>
      </c>
      <c r="H6" s="3">
        <v>4107813</v>
      </c>
      <c r="I6" s="3">
        <f>G6-H6</f>
        <v>5324731</v>
      </c>
      <c r="J6" s="4">
        <v>0.05</v>
      </c>
      <c r="K6" s="3">
        <f>(G6*J6)/12*12</f>
        <v>471627.20000000007</v>
      </c>
    </row>
    <row r="7" spans="1:11">
      <c r="A7" s="1">
        <v>2</v>
      </c>
      <c r="B7" s="1" t="s">
        <v>19</v>
      </c>
      <c r="C7" s="2" t="s">
        <v>20</v>
      </c>
      <c r="D7" s="1" t="s">
        <v>21</v>
      </c>
      <c r="E7" s="1">
        <v>1</v>
      </c>
      <c r="F7" s="3">
        <v>30000</v>
      </c>
      <c r="G7" s="3">
        <f>E7*F7</f>
        <v>30000</v>
      </c>
      <c r="H7" s="3">
        <v>25627</v>
      </c>
      <c r="I7" s="3">
        <f t="shared" ref="I7:I72" si="0">G7-H7</f>
        <v>4373</v>
      </c>
      <c r="J7" s="4">
        <v>0.2</v>
      </c>
      <c r="K7" s="3">
        <f>+I7*J7</f>
        <v>874.6</v>
      </c>
    </row>
    <row r="8" spans="1:11">
      <c r="A8" s="1">
        <v>3</v>
      </c>
      <c r="B8" s="1" t="s">
        <v>22</v>
      </c>
      <c r="C8" s="2" t="s">
        <v>23</v>
      </c>
      <c r="D8" s="1" t="s">
        <v>21</v>
      </c>
      <c r="E8" s="1">
        <v>1</v>
      </c>
      <c r="F8" s="3">
        <v>110000</v>
      </c>
      <c r="G8" s="3">
        <f t="shared" ref="G8:G30" si="1">E8*F8</f>
        <v>110000</v>
      </c>
      <c r="H8" s="3">
        <v>93967</v>
      </c>
      <c r="I8" s="3">
        <f t="shared" si="0"/>
        <v>16033</v>
      </c>
      <c r="J8" s="4">
        <v>0.2</v>
      </c>
      <c r="K8" s="3">
        <f t="shared" ref="K8:K73" si="2">+I8*J8</f>
        <v>3206.6000000000004</v>
      </c>
    </row>
    <row r="9" spans="1:11">
      <c r="A9" s="1">
        <v>4</v>
      </c>
      <c r="B9" s="1" t="s">
        <v>24</v>
      </c>
      <c r="C9" s="2" t="s">
        <v>25</v>
      </c>
      <c r="D9" s="1" t="s">
        <v>21</v>
      </c>
      <c r="E9" s="1">
        <v>1</v>
      </c>
      <c r="F9" s="3">
        <v>35000</v>
      </c>
      <c r="G9" s="3">
        <f t="shared" si="1"/>
        <v>35000</v>
      </c>
      <c r="H9" s="3">
        <v>30816</v>
      </c>
      <c r="I9" s="3">
        <f t="shared" si="0"/>
        <v>4184</v>
      </c>
      <c r="J9" s="4">
        <v>0.2</v>
      </c>
      <c r="K9" s="3">
        <f t="shared" si="2"/>
        <v>836.80000000000007</v>
      </c>
    </row>
    <row r="10" spans="1:11">
      <c r="A10" s="1">
        <v>5</v>
      </c>
      <c r="B10" s="1" t="s">
        <v>26</v>
      </c>
      <c r="C10" s="2" t="s">
        <v>25</v>
      </c>
      <c r="D10" s="1" t="s">
        <v>21</v>
      </c>
      <c r="E10" s="1">
        <v>1</v>
      </c>
      <c r="F10" s="3">
        <v>13200</v>
      </c>
      <c r="G10" s="3">
        <f t="shared" si="1"/>
        <v>13200</v>
      </c>
      <c r="H10" s="3">
        <v>11622</v>
      </c>
      <c r="I10" s="3">
        <f t="shared" si="0"/>
        <v>1578</v>
      </c>
      <c r="J10" s="4">
        <v>0.2</v>
      </c>
      <c r="K10" s="3">
        <f t="shared" si="2"/>
        <v>315.60000000000002</v>
      </c>
    </row>
    <row r="11" spans="1:11">
      <c r="A11" s="1">
        <v>6</v>
      </c>
      <c r="B11" s="1" t="s">
        <v>27</v>
      </c>
      <c r="C11" s="2" t="s">
        <v>28</v>
      </c>
      <c r="D11" s="1" t="s">
        <v>21</v>
      </c>
      <c r="E11" s="1">
        <v>1</v>
      </c>
      <c r="F11" s="3">
        <v>560000</v>
      </c>
      <c r="G11" s="3">
        <f t="shared" si="1"/>
        <v>560000</v>
      </c>
      <c r="H11" s="3">
        <v>491410</v>
      </c>
      <c r="I11" s="3">
        <f t="shared" si="0"/>
        <v>68590</v>
      </c>
      <c r="J11" s="4">
        <v>0.2</v>
      </c>
      <c r="K11" s="3">
        <f t="shared" si="2"/>
        <v>13718</v>
      </c>
    </row>
    <row r="12" spans="1:11">
      <c r="A12" s="1">
        <v>7</v>
      </c>
      <c r="B12" s="1" t="s">
        <v>29</v>
      </c>
      <c r="C12" s="2" t="s">
        <v>28</v>
      </c>
      <c r="D12" s="1" t="s">
        <v>21</v>
      </c>
      <c r="E12" s="1">
        <v>1</v>
      </c>
      <c r="F12" s="3">
        <v>18400</v>
      </c>
      <c r="G12" s="3">
        <f t="shared" si="1"/>
        <v>18400</v>
      </c>
      <c r="H12" s="3">
        <v>16146</v>
      </c>
      <c r="I12" s="3">
        <f t="shared" si="0"/>
        <v>2254</v>
      </c>
      <c r="J12" s="4">
        <v>0.2</v>
      </c>
      <c r="K12" s="3">
        <f t="shared" si="2"/>
        <v>450.8</v>
      </c>
    </row>
    <row r="13" spans="1:11">
      <c r="A13" s="1">
        <v>8</v>
      </c>
      <c r="B13" s="1" t="s">
        <v>30</v>
      </c>
      <c r="C13" s="2" t="s">
        <v>28</v>
      </c>
      <c r="D13" s="1" t="s">
        <v>21</v>
      </c>
      <c r="E13" s="1">
        <v>1</v>
      </c>
      <c r="F13" s="3">
        <v>12500</v>
      </c>
      <c r="G13" s="3">
        <f t="shared" si="1"/>
        <v>12500</v>
      </c>
      <c r="H13" s="3">
        <v>10969</v>
      </c>
      <c r="I13" s="3">
        <f t="shared" si="0"/>
        <v>1531</v>
      </c>
      <c r="J13" s="4">
        <v>0.2</v>
      </c>
      <c r="K13" s="3">
        <f t="shared" si="2"/>
        <v>306.2</v>
      </c>
    </row>
    <row r="14" spans="1:11">
      <c r="A14" s="1">
        <v>9</v>
      </c>
      <c r="B14" s="1" t="s">
        <v>31</v>
      </c>
      <c r="C14" s="2" t="s">
        <v>32</v>
      </c>
      <c r="D14" s="1" t="s">
        <v>21</v>
      </c>
      <c r="E14" s="1">
        <v>1</v>
      </c>
      <c r="F14" s="3">
        <v>45000</v>
      </c>
      <c r="G14" s="3">
        <f t="shared" si="1"/>
        <v>45000</v>
      </c>
      <c r="H14" s="3">
        <v>40150</v>
      </c>
      <c r="I14" s="3">
        <f t="shared" si="0"/>
        <v>4850</v>
      </c>
      <c r="J14" s="4">
        <v>0.2</v>
      </c>
      <c r="K14" s="3">
        <f t="shared" si="2"/>
        <v>970</v>
      </c>
    </row>
    <row r="15" spans="1:11">
      <c r="A15" s="1">
        <v>10</v>
      </c>
      <c r="B15" s="1" t="s">
        <v>33</v>
      </c>
      <c r="C15" s="2" t="s">
        <v>34</v>
      </c>
      <c r="D15" s="1" t="s">
        <v>21</v>
      </c>
      <c r="E15" s="1">
        <v>1</v>
      </c>
      <c r="F15" s="3">
        <v>30000</v>
      </c>
      <c r="G15" s="3">
        <f t="shared" si="1"/>
        <v>30000</v>
      </c>
      <c r="H15" s="3">
        <v>26414</v>
      </c>
      <c r="I15" s="3">
        <f t="shared" si="0"/>
        <v>3586</v>
      </c>
      <c r="J15" s="4">
        <v>0.2</v>
      </c>
      <c r="K15" s="3">
        <f t="shared" si="2"/>
        <v>717.2</v>
      </c>
    </row>
    <row r="16" spans="1:11">
      <c r="A16" s="1">
        <v>11</v>
      </c>
      <c r="B16" s="1" t="s">
        <v>35</v>
      </c>
      <c r="C16" s="2" t="s">
        <v>36</v>
      </c>
      <c r="D16" s="1" t="s">
        <v>21</v>
      </c>
      <c r="E16" s="1">
        <v>1</v>
      </c>
      <c r="F16" s="3">
        <v>28440</v>
      </c>
      <c r="G16" s="3">
        <f t="shared" si="1"/>
        <v>28440</v>
      </c>
      <c r="H16" s="3">
        <v>24706</v>
      </c>
      <c r="I16" s="3">
        <f t="shared" si="0"/>
        <v>3734</v>
      </c>
      <c r="J16" s="4">
        <v>0.2</v>
      </c>
      <c r="K16" s="3">
        <f t="shared" si="2"/>
        <v>746.80000000000007</v>
      </c>
    </row>
    <row r="17" spans="1:11">
      <c r="A17" s="1">
        <v>12</v>
      </c>
      <c r="B17" s="1" t="s">
        <v>37</v>
      </c>
      <c r="C17" s="2" t="s">
        <v>38</v>
      </c>
      <c r="D17" s="1" t="s">
        <v>21</v>
      </c>
      <c r="E17" s="1">
        <v>1</v>
      </c>
      <c r="F17" s="3">
        <v>1252960</v>
      </c>
      <c r="G17" s="3">
        <f t="shared" si="1"/>
        <v>1252960</v>
      </c>
      <c r="H17" s="3">
        <v>1096491</v>
      </c>
      <c r="I17" s="3">
        <f t="shared" si="0"/>
        <v>156469</v>
      </c>
      <c r="J17" s="4">
        <v>0.2</v>
      </c>
      <c r="K17" s="3">
        <f t="shared" si="2"/>
        <v>31293.800000000003</v>
      </c>
    </row>
    <row r="18" spans="1:11">
      <c r="A18" s="1">
        <v>13</v>
      </c>
      <c r="B18" s="1" t="s">
        <v>39</v>
      </c>
      <c r="C18" s="2" t="s">
        <v>40</v>
      </c>
      <c r="D18" s="1" t="s">
        <v>21</v>
      </c>
      <c r="E18" s="1">
        <v>1</v>
      </c>
      <c r="F18" s="3">
        <v>410332</v>
      </c>
      <c r="G18" s="3">
        <f t="shared" si="1"/>
        <v>410332</v>
      </c>
      <c r="H18" s="3">
        <v>355258</v>
      </c>
      <c r="I18" s="3">
        <f t="shared" si="0"/>
        <v>55074</v>
      </c>
      <c r="J18" s="4">
        <v>0.2</v>
      </c>
      <c r="K18" s="3">
        <f t="shared" si="2"/>
        <v>11014.800000000001</v>
      </c>
    </row>
    <row r="19" spans="1:11">
      <c r="A19" s="1">
        <v>14</v>
      </c>
      <c r="B19" s="1" t="s">
        <v>41</v>
      </c>
      <c r="C19" s="2" t="s">
        <v>42</v>
      </c>
      <c r="D19" s="1" t="s">
        <v>21</v>
      </c>
      <c r="E19" s="1">
        <v>1</v>
      </c>
      <c r="F19" s="3">
        <v>145401</v>
      </c>
      <c r="G19" s="3">
        <f t="shared" si="1"/>
        <v>145401</v>
      </c>
      <c r="H19" s="3">
        <v>82411</v>
      </c>
      <c r="I19" s="3">
        <f t="shared" si="0"/>
        <v>62990</v>
      </c>
      <c r="J19" s="4">
        <v>0.2</v>
      </c>
      <c r="K19" s="3">
        <f t="shared" si="2"/>
        <v>12598</v>
      </c>
    </row>
    <row r="20" spans="1:11">
      <c r="A20" s="1">
        <v>15</v>
      </c>
      <c r="B20" s="1" t="s">
        <v>43</v>
      </c>
      <c r="C20" s="2" t="s">
        <v>42</v>
      </c>
      <c r="D20" s="1" t="s">
        <v>21</v>
      </c>
      <c r="E20" s="1">
        <v>1</v>
      </c>
      <c r="F20" s="3">
        <v>143112</v>
      </c>
      <c r="G20" s="3">
        <f t="shared" si="1"/>
        <v>143112</v>
      </c>
      <c r="H20" s="3">
        <v>81114</v>
      </c>
      <c r="I20" s="3">
        <f t="shared" si="0"/>
        <v>61998</v>
      </c>
      <c r="J20" s="4">
        <v>0.2</v>
      </c>
      <c r="K20" s="3">
        <f t="shared" si="2"/>
        <v>12399.6</v>
      </c>
    </row>
    <row r="21" spans="1:11">
      <c r="A21" s="1">
        <v>16</v>
      </c>
      <c r="B21" s="1" t="s">
        <v>44</v>
      </c>
      <c r="C21" s="2" t="s">
        <v>45</v>
      </c>
      <c r="D21" s="1" t="s">
        <v>21</v>
      </c>
      <c r="E21" s="1">
        <v>1</v>
      </c>
      <c r="F21" s="3">
        <v>273294</v>
      </c>
      <c r="G21" s="3">
        <f t="shared" si="1"/>
        <v>273294</v>
      </c>
      <c r="H21" s="3">
        <v>237416</v>
      </c>
      <c r="I21" s="3">
        <f t="shared" si="0"/>
        <v>35878</v>
      </c>
      <c r="J21" s="4">
        <v>0.2</v>
      </c>
      <c r="K21" s="3">
        <f t="shared" si="2"/>
        <v>7175.6</v>
      </c>
    </row>
    <row r="22" spans="1:11">
      <c r="A22" s="1">
        <v>17</v>
      </c>
      <c r="B22" s="1" t="s">
        <v>46</v>
      </c>
      <c r="C22" s="2" t="s">
        <v>47</v>
      </c>
      <c r="D22" s="1" t="s">
        <v>21</v>
      </c>
      <c r="E22" s="1">
        <v>1</v>
      </c>
      <c r="F22" s="3">
        <v>93687</v>
      </c>
      <c r="G22" s="3">
        <f t="shared" si="1"/>
        <v>93687</v>
      </c>
      <c r="H22" s="3">
        <v>81096</v>
      </c>
      <c r="I22" s="3">
        <f t="shared" si="0"/>
        <v>12591</v>
      </c>
      <c r="J22" s="4">
        <v>0.2</v>
      </c>
      <c r="K22" s="3">
        <f t="shared" si="2"/>
        <v>2518.2000000000003</v>
      </c>
    </row>
    <row r="23" spans="1:11">
      <c r="A23" s="1">
        <v>18</v>
      </c>
      <c r="B23" s="1" t="s">
        <v>18</v>
      </c>
      <c r="C23" s="2" t="s">
        <v>48</v>
      </c>
      <c r="D23" s="1" t="s">
        <v>21</v>
      </c>
      <c r="E23" s="1">
        <v>1</v>
      </c>
      <c r="F23" s="3">
        <v>641701</v>
      </c>
      <c r="G23" s="3">
        <f t="shared" si="1"/>
        <v>641701</v>
      </c>
      <c r="H23" s="3">
        <v>547434</v>
      </c>
      <c r="I23" s="3">
        <f t="shared" si="0"/>
        <v>94267</v>
      </c>
      <c r="J23" s="4">
        <v>0.2</v>
      </c>
      <c r="K23" s="3">
        <f t="shared" si="2"/>
        <v>18853.400000000001</v>
      </c>
    </row>
    <row r="24" spans="1:11">
      <c r="A24" s="1">
        <v>19</v>
      </c>
      <c r="B24" s="1" t="s">
        <v>18</v>
      </c>
      <c r="C24" s="2" t="s">
        <v>49</v>
      </c>
      <c r="D24" s="1" t="s">
        <v>21</v>
      </c>
      <c r="E24" s="1">
        <v>1</v>
      </c>
      <c r="F24" s="3">
        <v>666528</v>
      </c>
      <c r="G24" s="3">
        <f t="shared" si="1"/>
        <v>666528</v>
      </c>
      <c r="H24" s="3">
        <v>569613</v>
      </c>
      <c r="I24" s="3">
        <f t="shared" si="0"/>
        <v>96915</v>
      </c>
      <c r="J24" s="4">
        <v>0.2</v>
      </c>
      <c r="K24" s="3">
        <f t="shared" si="2"/>
        <v>19383</v>
      </c>
    </row>
    <row r="25" spans="1:11">
      <c r="A25" s="1">
        <v>20</v>
      </c>
      <c r="B25" s="1" t="s">
        <v>50</v>
      </c>
      <c r="C25" s="2" t="s">
        <v>51</v>
      </c>
      <c r="D25" s="1" t="s">
        <v>21</v>
      </c>
      <c r="E25" s="1">
        <v>1</v>
      </c>
      <c r="F25" s="3">
        <v>117404</v>
      </c>
      <c r="G25" s="3">
        <f t="shared" si="1"/>
        <v>117404</v>
      </c>
      <c r="H25" s="3">
        <v>100990</v>
      </c>
      <c r="I25" s="3">
        <f t="shared" si="0"/>
        <v>16414</v>
      </c>
      <c r="J25" s="4">
        <v>0.2</v>
      </c>
      <c r="K25" s="3">
        <f t="shared" si="2"/>
        <v>3282.8</v>
      </c>
    </row>
    <row r="26" spans="1:11">
      <c r="A26" s="1">
        <v>21</v>
      </c>
      <c r="B26" s="1" t="s">
        <v>52</v>
      </c>
      <c r="C26" s="2" t="s">
        <v>53</v>
      </c>
      <c r="D26" s="1" t="s">
        <v>21</v>
      </c>
      <c r="E26" s="1">
        <v>1</v>
      </c>
      <c r="F26" s="3">
        <v>100000</v>
      </c>
      <c r="G26" s="3">
        <f t="shared" si="1"/>
        <v>100000</v>
      </c>
      <c r="H26" s="3">
        <v>86298</v>
      </c>
      <c r="I26" s="3">
        <f t="shared" si="0"/>
        <v>13702</v>
      </c>
      <c r="J26" s="4">
        <v>0.2</v>
      </c>
      <c r="K26" s="3">
        <f>+I26*J26</f>
        <v>2740.4</v>
      </c>
    </row>
    <row r="27" spans="1:11">
      <c r="A27" s="1">
        <v>22</v>
      </c>
      <c r="B27" s="1" t="s">
        <v>54</v>
      </c>
      <c r="C27" s="2" t="s">
        <v>55</v>
      </c>
      <c r="D27" s="1" t="s">
        <v>21</v>
      </c>
      <c r="E27" s="1">
        <v>1</v>
      </c>
      <c r="F27" s="3">
        <v>113200</v>
      </c>
      <c r="G27" s="3">
        <f t="shared" si="1"/>
        <v>113200</v>
      </c>
      <c r="H27" s="3">
        <v>97690</v>
      </c>
      <c r="I27" s="3">
        <f t="shared" si="0"/>
        <v>15510</v>
      </c>
      <c r="J27" s="4">
        <v>0.2</v>
      </c>
      <c r="K27" s="3">
        <f t="shared" si="2"/>
        <v>3102</v>
      </c>
    </row>
    <row r="28" spans="1:11">
      <c r="A28" s="1">
        <v>23</v>
      </c>
      <c r="B28" s="1" t="s">
        <v>56</v>
      </c>
      <c r="C28" s="2" t="s">
        <v>57</v>
      </c>
      <c r="D28" s="1" t="s">
        <v>21</v>
      </c>
      <c r="E28" s="1">
        <v>3</v>
      </c>
      <c r="F28" s="3">
        <v>14583</v>
      </c>
      <c r="G28" s="3">
        <f t="shared" si="1"/>
        <v>43749</v>
      </c>
      <c r="H28" s="3">
        <v>37021</v>
      </c>
      <c r="I28" s="3">
        <f t="shared" si="0"/>
        <v>6728</v>
      </c>
      <c r="J28" s="4">
        <v>0.2</v>
      </c>
      <c r="K28" s="3">
        <f t="shared" si="2"/>
        <v>1345.6000000000001</v>
      </c>
    </row>
    <row r="29" spans="1:11">
      <c r="A29" s="1">
        <v>24</v>
      </c>
      <c r="B29" s="1" t="s">
        <v>56</v>
      </c>
      <c r="C29" s="2" t="s">
        <v>58</v>
      </c>
      <c r="D29" s="1" t="s">
        <v>21</v>
      </c>
      <c r="E29" s="1">
        <v>1</v>
      </c>
      <c r="F29" s="3">
        <v>76583</v>
      </c>
      <c r="G29" s="3">
        <f t="shared" si="1"/>
        <v>76583</v>
      </c>
      <c r="H29" s="3">
        <v>61861</v>
      </c>
      <c r="I29" s="3">
        <f t="shared" si="0"/>
        <v>14722</v>
      </c>
      <c r="J29" s="4">
        <v>0.2</v>
      </c>
      <c r="K29" s="3">
        <f t="shared" si="2"/>
        <v>2944.4</v>
      </c>
    </row>
    <row r="30" spans="1:11">
      <c r="A30" s="1">
        <v>25</v>
      </c>
      <c r="B30" s="1" t="s">
        <v>56</v>
      </c>
      <c r="C30" s="2" t="s">
        <v>59</v>
      </c>
      <c r="D30" s="1" t="s">
        <v>21</v>
      </c>
      <c r="E30" s="1">
        <v>1</v>
      </c>
      <c r="F30" s="3">
        <v>45500</v>
      </c>
      <c r="G30" s="3">
        <f t="shared" si="1"/>
        <v>45500</v>
      </c>
      <c r="H30" s="3">
        <v>34566</v>
      </c>
      <c r="I30" s="3">
        <f t="shared" si="0"/>
        <v>10934</v>
      </c>
      <c r="J30" s="4">
        <v>0.2</v>
      </c>
      <c r="K30" s="3">
        <f t="shared" si="2"/>
        <v>2186.8000000000002</v>
      </c>
    </row>
    <row r="31" spans="1:11">
      <c r="A31" s="1">
        <v>26</v>
      </c>
      <c r="B31" s="1" t="str">
        <f>+[2]imp.07!E39</f>
        <v>traktor</v>
      </c>
      <c r="C31" s="2" t="str">
        <f>+[2]imp.07!B37</f>
        <v>15.03.07</v>
      </c>
      <c r="D31" s="1" t="s">
        <v>21</v>
      </c>
      <c r="E31" s="6">
        <v>1</v>
      </c>
      <c r="F31" s="3">
        <f>+G31</f>
        <v>1804841</v>
      </c>
      <c r="G31" s="3">
        <v>1804841</v>
      </c>
      <c r="H31" s="3">
        <v>911565</v>
      </c>
      <c r="I31" s="3">
        <f t="shared" si="0"/>
        <v>893276</v>
      </c>
      <c r="J31" s="4">
        <v>0.2</v>
      </c>
      <c r="K31" s="3">
        <f t="shared" si="2"/>
        <v>178655.2</v>
      </c>
    </row>
    <row r="32" spans="1:11">
      <c r="A32" s="1">
        <v>27</v>
      </c>
      <c r="B32" s="1" t="str">
        <f>+[2]imp.07!E100</f>
        <v>imp.vadites</v>
      </c>
      <c r="C32" s="20" t="s">
        <v>60</v>
      </c>
      <c r="D32" s="1" t="s">
        <v>21</v>
      </c>
      <c r="E32" s="1">
        <v>1</v>
      </c>
      <c r="F32" s="3">
        <f>+G32/E32</f>
        <v>905636.65720000002</v>
      </c>
      <c r="G32" s="3">
        <f>+[2]imp.07!J100+[2]imp.07!M100</f>
        <v>905636.65720000002</v>
      </c>
      <c r="H32" s="3">
        <v>457407</v>
      </c>
      <c r="I32" s="3">
        <f t="shared" si="0"/>
        <v>448229.65720000002</v>
      </c>
      <c r="J32" s="4">
        <v>0.2</v>
      </c>
      <c r="K32" s="3">
        <f t="shared" si="2"/>
        <v>89645.931440000015</v>
      </c>
    </row>
    <row r="33" spans="1:11">
      <c r="A33" s="1">
        <v>28</v>
      </c>
      <c r="B33" s="1" t="str">
        <f>+[2]imp.07!E120</f>
        <v xml:space="preserve">pompa </v>
      </c>
      <c r="C33" s="2" t="s">
        <v>61</v>
      </c>
      <c r="D33" s="1" t="s">
        <v>21</v>
      </c>
      <c r="E33" s="1">
        <f>+[2]imp.07!F120</f>
        <v>2</v>
      </c>
      <c r="F33" s="3">
        <f t="shared" ref="F33:F56" si="3">+G33/E33</f>
        <v>110833.54</v>
      </c>
      <c r="G33" s="3">
        <f>+[2]imp.07!J120+[2]imp.07!M120</f>
        <v>221667.08</v>
      </c>
      <c r="H33" s="3">
        <v>110065</v>
      </c>
      <c r="I33" s="3">
        <f t="shared" si="0"/>
        <v>111602.07999999999</v>
      </c>
      <c r="J33" s="4">
        <v>0.2</v>
      </c>
      <c r="K33" s="3">
        <f t="shared" si="2"/>
        <v>22320.415999999997</v>
      </c>
    </row>
    <row r="34" spans="1:11">
      <c r="A34" s="1">
        <v>29</v>
      </c>
      <c r="B34" s="1" t="str">
        <f>+[2]imp.07!E124</f>
        <v xml:space="preserve">kazan hekuri </v>
      </c>
      <c r="C34" s="2" t="str">
        <f>+[2]imp.07!B124</f>
        <v>15.10.07</v>
      </c>
      <c r="D34" s="1" t="s">
        <v>21</v>
      </c>
      <c r="E34" s="1">
        <v>1</v>
      </c>
      <c r="F34" s="3">
        <f t="shared" si="3"/>
        <v>74658</v>
      </c>
      <c r="G34" s="3">
        <f>+[2]imp.07!J124+[2]imp.07!M124</f>
        <v>74658</v>
      </c>
      <c r="H34" s="3">
        <v>36433</v>
      </c>
      <c r="I34" s="3">
        <f t="shared" si="0"/>
        <v>38225</v>
      </c>
      <c r="J34" s="4">
        <v>0.2</v>
      </c>
      <c r="K34" s="3">
        <f>+I34*J34</f>
        <v>7645</v>
      </c>
    </row>
    <row r="35" spans="1:11">
      <c r="A35" s="1">
        <v>30</v>
      </c>
      <c r="B35" s="1" t="str">
        <f>+[2]imp.07!E130</f>
        <v xml:space="preserve">pompa </v>
      </c>
      <c r="C35" s="2" t="str">
        <f>+[2]imp.07!B130</f>
        <v>23.10.07</v>
      </c>
      <c r="D35" s="1" t="s">
        <v>21</v>
      </c>
      <c r="E35" s="1">
        <f>+[2]imp.07!F130</f>
        <v>3</v>
      </c>
      <c r="F35" s="3">
        <f t="shared" si="3"/>
        <v>69288.44</v>
      </c>
      <c r="G35" s="3">
        <f>+[2]imp.07!J130+[2]imp.07!M130</f>
        <v>207865.32</v>
      </c>
      <c r="H35" s="3">
        <v>101438</v>
      </c>
      <c r="I35" s="3">
        <f t="shared" si="0"/>
        <v>106427.32</v>
      </c>
      <c r="J35" s="4">
        <v>0.2</v>
      </c>
      <c r="K35" s="3">
        <f t="shared" si="2"/>
        <v>21285.464000000004</v>
      </c>
    </row>
    <row r="36" spans="1:11">
      <c r="A36" s="1">
        <v>31</v>
      </c>
      <c r="B36" s="1" t="str">
        <f>+[2]mj.k.leasing!D9</f>
        <v>pirun ngites me goma tip 938.13</v>
      </c>
      <c r="C36" s="2" t="s">
        <v>62</v>
      </c>
      <c r="D36" s="1" t="s">
        <v>21</v>
      </c>
      <c r="E36" s="1">
        <v>1</v>
      </c>
      <c r="F36" s="3">
        <f t="shared" si="3"/>
        <v>7323982.9236000003</v>
      </c>
      <c r="G36" s="3">
        <f>+[2]mj.k.leasing!H9</f>
        <v>7323982.9236000003</v>
      </c>
      <c r="H36" s="3">
        <v>1464797</v>
      </c>
      <c r="I36" s="3">
        <f t="shared" si="0"/>
        <v>5859185.9236000003</v>
      </c>
      <c r="J36" s="4">
        <v>0.2</v>
      </c>
      <c r="K36" s="3">
        <f t="shared" si="2"/>
        <v>1171837.18472</v>
      </c>
    </row>
    <row r="37" spans="1:11">
      <c r="A37" s="1">
        <v>32</v>
      </c>
      <c r="B37" s="1" t="str">
        <f>+[2]mj.k.leasing!D10</f>
        <v>ford fiesta</v>
      </c>
      <c r="C37" s="2" t="s">
        <v>63</v>
      </c>
      <c r="D37" s="1" t="s">
        <v>21</v>
      </c>
      <c r="E37" s="1">
        <v>1</v>
      </c>
      <c r="F37" s="3">
        <f t="shared" si="3"/>
        <v>1086662.5</v>
      </c>
      <c r="G37" s="3">
        <f>+[2]mj.k.leasing!H10</f>
        <v>1086662.5</v>
      </c>
      <c r="H37" s="3">
        <v>391199</v>
      </c>
      <c r="I37" s="3">
        <f t="shared" si="0"/>
        <v>695463.5</v>
      </c>
      <c r="J37" s="4">
        <v>0.2</v>
      </c>
      <c r="K37" s="3">
        <f t="shared" si="2"/>
        <v>139092.70000000001</v>
      </c>
    </row>
    <row r="38" spans="1:11">
      <c r="A38" s="1">
        <v>33</v>
      </c>
      <c r="B38" s="1" t="str">
        <f>+[2]mj.k.leasing!D11</f>
        <v>ford ranger pick-up</v>
      </c>
      <c r="C38" s="2" t="s">
        <v>63</v>
      </c>
      <c r="D38" s="1" t="s">
        <v>21</v>
      </c>
      <c r="E38" s="1">
        <v>1</v>
      </c>
      <c r="F38" s="3">
        <f t="shared" si="3"/>
        <v>1247457.926</v>
      </c>
      <c r="G38" s="3">
        <f>+[2]mj.k.leasing!H11</f>
        <v>1247457.926</v>
      </c>
      <c r="H38" s="3">
        <v>449085</v>
      </c>
      <c r="I38" s="3">
        <f t="shared" si="0"/>
        <v>798372.92599999998</v>
      </c>
      <c r="J38" s="4">
        <v>0.2</v>
      </c>
      <c r="K38" s="3">
        <f t="shared" si="2"/>
        <v>159674.5852</v>
      </c>
    </row>
    <row r="39" spans="1:11">
      <c r="A39" s="1">
        <v>34</v>
      </c>
      <c r="B39" s="1" t="str">
        <f>+[2]mj.k.leasing!D12</f>
        <v>ford transit pick up</v>
      </c>
      <c r="C39" s="2" t="s">
        <v>64</v>
      </c>
      <c r="D39" s="1" t="s">
        <v>21</v>
      </c>
      <c r="E39" s="1">
        <v>1</v>
      </c>
      <c r="F39" s="3">
        <f t="shared" si="3"/>
        <v>2078010</v>
      </c>
      <c r="G39" s="3">
        <f>+[2]mj.k.leasing!H12</f>
        <v>2078010</v>
      </c>
      <c r="H39" s="3">
        <v>415602</v>
      </c>
      <c r="I39" s="3">
        <f t="shared" si="0"/>
        <v>1662408</v>
      </c>
      <c r="J39" s="4">
        <v>0.2</v>
      </c>
      <c r="K39" s="3">
        <f t="shared" si="2"/>
        <v>332481.60000000003</v>
      </c>
    </row>
    <row r="40" spans="1:11">
      <c r="A40" s="1">
        <v>35</v>
      </c>
      <c r="B40" s="1" t="str">
        <f>+[2]bl.vend!D28</f>
        <v>matrapik</v>
      </c>
      <c r="C40" s="2" t="str">
        <f>+[2]bl.vend!B28</f>
        <v>30.01.07</v>
      </c>
      <c r="D40" s="1" t="s">
        <v>21</v>
      </c>
      <c r="E40" s="1">
        <v>1</v>
      </c>
      <c r="F40" s="3">
        <f t="shared" si="3"/>
        <v>17650</v>
      </c>
      <c r="G40" s="3">
        <f>+[2]bl.vend!E28</f>
        <v>17650</v>
      </c>
      <c r="H40" s="3">
        <v>8613</v>
      </c>
      <c r="I40" s="3">
        <f t="shared" si="0"/>
        <v>9037</v>
      </c>
      <c r="J40" s="4">
        <v>0.2</v>
      </c>
      <c r="K40" s="3">
        <f t="shared" si="2"/>
        <v>1807.4</v>
      </c>
    </row>
    <row r="41" spans="1:11">
      <c r="A41" s="1">
        <v>36</v>
      </c>
      <c r="B41" s="1" t="str">
        <f>+[2]bl.vend!D50</f>
        <v>share</v>
      </c>
      <c r="C41" s="2" t="str">
        <f>+[2]bl.vend!B50</f>
        <v>19.05.07</v>
      </c>
      <c r="D41" s="1" t="s">
        <v>21</v>
      </c>
      <c r="E41" s="1">
        <v>1</v>
      </c>
      <c r="F41" s="3">
        <f t="shared" si="3"/>
        <v>41667</v>
      </c>
      <c r="G41" s="3">
        <f>+[2]bl.vend!E50</f>
        <v>41667</v>
      </c>
      <c r="H41" s="3">
        <v>20333</v>
      </c>
      <c r="I41" s="3">
        <f t="shared" si="0"/>
        <v>21334</v>
      </c>
      <c r="J41" s="4">
        <v>0.2</v>
      </c>
      <c r="K41" s="3">
        <f t="shared" si="2"/>
        <v>4266.8</v>
      </c>
    </row>
    <row r="42" spans="1:11">
      <c r="A42" s="1">
        <v>37</v>
      </c>
      <c r="B42" s="1" t="str">
        <f>+[2]bl.vend!D52</f>
        <v>makine korese</v>
      </c>
      <c r="C42" s="2" t="str">
        <f>+[2]bl.vend!B52</f>
        <v>21.05.07</v>
      </c>
      <c r="D42" s="1" t="s">
        <v>21</v>
      </c>
      <c r="E42" s="1">
        <v>1</v>
      </c>
      <c r="F42" s="3">
        <f t="shared" si="3"/>
        <v>58333</v>
      </c>
      <c r="G42" s="3">
        <f>+[2]bl.vend!E52</f>
        <v>58333</v>
      </c>
      <c r="H42" s="3">
        <v>28467</v>
      </c>
      <c r="I42" s="3">
        <f t="shared" si="0"/>
        <v>29866</v>
      </c>
      <c r="J42" s="4">
        <v>0.2</v>
      </c>
      <c r="K42" s="3">
        <f t="shared" si="2"/>
        <v>5973.2000000000007</v>
      </c>
    </row>
    <row r="43" spans="1:11">
      <c r="A43" s="1">
        <v>38</v>
      </c>
      <c r="B43" s="1" t="str">
        <f>+[2]bl.vend!D56</f>
        <v>aspirator</v>
      </c>
      <c r="C43" s="2" t="str">
        <f>+[2]bl.vend!B56</f>
        <v>13.06.07</v>
      </c>
      <c r="D43" s="1" t="s">
        <v>21</v>
      </c>
      <c r="E43" s="1">
        <v>1</v>
      </c>
      <c r="F43" s="3">
        <f t="shared" si="3"/>
        <v>66667</v>
      </c>
      <c r="G43" s="3">
        <f>+[2]bl.vend!E56</f>
        <v>66667</v>
      </c>
      <c r="H43" s="3">
        <v>32533</v>
      </c>
      <c r="I43" s="3">
        <f t="shared" si="0"/>
        <v>34134</v>
      </c>
      <c r="J43" s="4">
        <v>0.2</v>
      </c>
      <c r="K43" s="3">
        <f t="shared" si="2"/>
        <v>6826.8</v>
      </c>
    </row>
    <row r="44" spans="1:11">
      <c r="A44" s="1">
        <v>39</v>
      </c>
      <c r="B44" s="1" t="str">
        <f>+[2]bl.vend!D57</f>
        <v>makine korese</v>
      </c>
      <c r="C44" s="2" t="str">
        <f>+[2]bl.vend!B57</f>
        <v>29.06.07</v>
      </c>
      <c r="D44" s="1" t="s">
        <v>21</v>
      </c>
      <c r="E44" s="1">
        <v>1</v>
      </c>
      <c r="F44" s="3">
        <f t="shared" si="3"/>
        <v>10833</v>
      </c>
      <c r="G44" s="3">
        <f>+[2]bl.vend!E57</f>
        <v>10833</v>
      </c>
      <c r="H44" s="3">
        <v>5287</v>
      </c>
      <c r="I44" s="3">
        <f t="shared" si="0"/>
        <v>5546</v>
      </c>
      <c r="J44" s="4">
        <v>0.2</v>
      </c>
      <c r="K44" s="3">
        <f t="shared" si="2"/>
        <v>1109.2</v>
      </c>
    </row>
    <row r="45" spans="1:11">
      <c r="A45" s="1">
        <v>40</v>
      </c>
      <c r="B45" s="1" t="str">
        <f>+[2]bl.vend!D76</f>
        <v>dyer dritare</v>
      </c>
      <c r="C45" s="2" t="str">
        <f>+[2]bl.vend!B76</f>
        <v>21,11,07</v>
      </c>
      <c r="D45" s="1" t="s">
        <v>21</v>
      </c>
      <c r="E45" s="1">
        <v>1</v>
      </c>
      <c r="F45" s="3">
        <f t="shared" si="3"/>
        <v>125000</v>
      </c>
      <c r="G45" s="3">
        <f>+[2]bl.vend!E76</f>
        <v>125000</v>
      </c>
      <c r="H45" s="3">
        <v>61000</v>
      </c>
      <c r="I45" s="3">
        <f t="shared" si="0"/>
        <v>64000</v>
      </c>
      <c r="J45" s="4">
        <v>0.2</v>
      </c>
      <c r="K45" s="3">
        <f t="shared" si="2"/>
        <v>12800</v>
      </c>
    </row>
    <row r="46" spans="1:11">
      <c r="A46" s="1">
        <v>41</v>
      </c>
      <c r="B46" s="1" t="str">
        <f>+[2]bl.vend!D83</f>
        <v>printer</v>
      </c>
      <c r="C46" s="2" t="str">
        <f>+[2]bl.vend!B83</f>
        <v>30,11,07</v>
      </c>
      <c r="D46" s="1" t="s">
        <v>21</v>
      </c>
      <c r="E46" s="1">
        <v>1</v>
      </c>
      <c r="F46" s="3">
        <f t="shared" si="3"/>
        <v>133333</v>
      </c>
      <c r="G46" s="3">
        <f>+[2]bl.vend!E83</f>
        <v>133333</v>
      </c>
      <c r="H46" s="3">
        <v>65067</v>
      </c>
      <c r="I46" s="3">
        <f t="shared" si="0"/>
        <v>68266</v>
      </c>
      <c r="J46" s="4">
        <v>0.2</v>
      </c>
      <c r="K46" s="3">
        <f t="shared" si="2"/>
        <v>13653.2</v>
      </c>
    </row>
    <row r="47" spans="1:11">
      <c r="A47" s="1">
        <v>42</v>
      </c>
      <c r="B47" s="7" t="s">
        <v>65</v>
      </c>
      <c r="C47" s="2" t="s">
        <v>66</v>
      </c>
      <c r="D47" s="1" t="s">
        <v>21</v>
      </c>
      <c r="E47" s="1">
        <v>1</v>
      </c>
      <c r="F47" s="3">
        <f t="shared" si="3"/>
        <v>8787600</v>
      </c>
      <c r="G47" s="3">
        <f>+[3]mj.k.lizing!H40</f>
        <v>8787600</v>
      </c>
      <c r="H47" s="3">
        <v>1757520</v>
      </c>
      <c r="I47" s="3">
        <f t="shared" si="0"/>
        <v>7030080</v>
      </c>
      <c r="J47" s="4">
        <v>0.2</v>
      </c>
      <c r="K47" s="3">
        <f t="shared" si="2"/>
        <v>1406016</v>
      </c>
    </row>
    <row r="48" spans="1:11">
      <c r="A48" s="1">
        <v>43</v>
      </c>
      <c r="B48" s="7" t="s">
        <v>67</v>
      </c>
      <c r="C48" s="2" t="s">
        <v>66</v>
      </c>
      <c r="D48" s="1" t="s">
        <v>21</v>
      </c>
      <c r="E48" s="1">
        <v>1</v>
      </c>
      <c r="F48" s="3">
        <f t="shared" si="3"/>
        <v>1088279.1666666665</v>
      </c>
      <c r="G48" s="3">
        <f>+[3]mj.k.lizing!H41</f>
        <v>1088279.1666666665</v>
      </c>
      <c r="H48" s="3">
        <v>391781</v>
      </c>
      <c r="I48" s="3">
        <f t="shared" si="0"/>
        <v>696498.16666666651</v>
      </c>
      <c r="J48" s="4">
        <v>0.2</v>
      </c>
      <c r="K48" s="3">
        <f t="shared" si="2"/>
        <v>139299.6333333333</v>
      </c>
    </row>
    <row r="49" spans="1:11">
      <c r="A49" s="1">
        <v>44</v>
      </c>
      <c r="B49" s="7" t="s">
        <v>68</v>
      </c>
      <c r="C49" s="2" t="s">
        <v>66</v>
      </c>
      <c r="D49" s="1" t="s">
        <v>21</v>
      </c>
      <c r="E49" s="1">
        <v>1</v>
      </c>
      <c r="F49" s="3">
        <f t="shared" si="3"/>
        <v>1826681.6666666667</v>
      </c>
      <c r="G49" s="3">
        <f>+[3]mj.k.lizing!H42</f>
        <v>1826681.6666666667</v>
      </c>
      <c r="H49" s="3">
        <v>657605</v>
      </c>
      <c r="I49" s="3">
        <f t="shared" si="0"/>
        <v>1169076.6666666667</v>
      </c>
      <c r="J49" s="4">
        <v>0.2</v>
      </c>
      <c r="K49" s="3">
        <f t="shared" si="2"/>
        <v>233815.33333333337</v>
      </c>
    </row>
    <row r="50" spans="1:11">
      <c r="A50" s="1">
        <v>45</v>
      </c>
      <c r="B50" s="7" t="s">
        <v>69</v>
      </c>
      <c r="C50" s="2" t="s">
        <v>66</v>
      </c>
      <c r="D50" s="1" t="s">
        <v>21</v>
      </c>
      <c r="E50" s="1">
        <v>1</v>
      </c>
      <c r="F50" s="3">
        <f t="shared" si="3"/>
        <v>7420640</v>
      </c>
      <c r="G50" s="3">
        <f>+[3]mj.k.lizing!H43</f>
        <v>7420640</v>
      </c>
      <c r="H50" s="3">
        <v>1484128</v>
      </c>
      <c r="I50" s="3">
        <f t="shared" si="0"/>
        <v>5936512</v>
      </c>
      <c r="J50" s="4">
        <v>0.2</v>
      </c>
      <c r="K50" s="3">
        <f t="shared" si="2"/>
        <v>1187302.4000000001</v>
      </c>
    </row>
    <row r="51" spans="1:11">
      <c r="A51" s="1">
        <v>46</v>
      </c>
      <c r="B51" s="1" t="s">
        <v>70</v>
      </c>
      <c r="C51" s="8" t="s">
        <v>71</v>
      </c>
      <c r="D51" s="1" t="s">
        <v>21</v>
      </c>
      <c r="E51" s="1">
        <v>1</v>
      </c>
      <c r="F51" s="3">
        <f t="shared" si="3"/>
        <v>1739822</v>
      </c>
      <c r="G51" s="3">
        <v>1739822</v>
      </c>
      <c r="H51" s="3">
        <v>347964</v>
      </c>
      <c r="I51" s="3">
        <f t="shared" si="0"/>
        <v>1391858</v>
      </c>
      <c r="J51" s="4">
        <v>0.2</v>
      </c>
      <c r="K51" s="3">
        <f t="shared" si="2"/>
        <v>278371.60000000003</v>
      </c>
    </row>
    <row r="52" spans="1:11">
      <c r="A52" s="1">
        <v>47</v>
      </c>
      <c r="B52" s="1" t="s">
        <v>72</v>
      </c>
      <c r="C52" s="8" t="s">
        <v>71</v>
      </c>
      <c r="D52" s="1" t="s">
        <v>21</v>
      </c>
      <c r="E52" s="1">
        <v>1</v>
      </c>
      <c r="F52" s="3">
        <f t="shared" si="3"/>
        <v>182764</v>
      </c>
      <c r="G52" s="3">
        <v>182764</v>
      </c>
      <c r="H52" s="3">
        <v>65795</v>
      </c>
      <c r="I52" s="3">
        <f t="shared" si="0"/>
        <v>116969</v>
      </c>
      <c r="J52" s="4">
        <v>0.2</v>
      </c>
      <c r="K52" s="3">
        <f t="shared" si="2"/>
        <v>23393.800000000003</v>
      </c>
    </row>
    <row r="53" spans="1:11">
      <c r="A53" s="1">
        <v>48</v>
      </c>
      <c r="B53" s="1" t="s">
        <v>73</v>
      </c>
      <c r="C53" s="8" t="s">
        <v>71</v>
      </c>
      <c r="D53" s="1" t="s">
        <v>21</v>
      </c>
      <c r="E53" s="1">
        <v>1</v>
      </c>
      <c r="F53" s="3">
        <f t="shared" si="3"/>
        <v>456910</v>
      </c>
      <c r="G53" s="3">
        <v>456910</v>
      </c>
      <c r="H53" s="3">
        <v>164488</v>
      </c>
      <c r="I53" s="3">
        <f t="shared" si="0"/>
        <v>292422</v>
      </c>
      <c r="J53" s="4">
        <v>0.2</v>
      </c>
      <c r="K53" s="3">
        <f t="shared" si="2"/>
        <v>58484.4</v>
      </c>
    </row>
    <row r="54" spans="1:11">
      <c r="A54" s="1">
        <v>49</v>
      </c>
      <c r="B54" s="1" t="s">
        <v>74</v>
      </c>
      <c r="C54" s="8" t="s">
        <v>75</v>
      </c>
      <c r="D54" s="1" t="s">
        <v>21</v>
      </c>
      <c r="E54" s="1">
        <v>1</v>
      </c>
      <c r="F54" s="3">
        <f t="shared" si="3"/>
        <v>180018</v>
      </c>
      <c r="G54" s="3">
        <v>180018</v>
      </c>
      <c r="H54" s="3">
        <v>78758</v>
      </c>
      <c r="I54" s="3">
        <f t="shared" si="0"/>
        <v>101260</v>
      </c>
      <c r="J54" s="4">
        <v>0.25</v>
      </c>
      <c r="K54" s="3">
        <f t="shared" si="2"/>
        <v>25315</v>
      </c>
    </row>
    <row r="55" spans="1:11">
      <c r="A55" s="1">
        <v>50</v>
      </c>
      <c r="B55" s="9" t="s">
        <v>76</v>
      </c>
      <c r="C55" s="10" t="s">
        <v>77</v>
      </c>
      <c r="D55" s="1" t="s">
        <v>21</v>
      </c>
      <c r="E55" s="1">
        <v>1</v>
      </c>
      <c r="F55" s="3">
        <f t="shared" si="3"/>
        <v>41667</v>
      </c>
      <c r="G55" s="3">
        <v>41667</v>
      </c>
      <c r="H55" s="3">
        <v>15000</v>
      </c>
      <c r="I55" s="3">
        <f t="shared" si="0"/>
        <v>26667</v>
      </c>
      <c r="J55" s="4">
        <v>0.2</v>
      </c>
      <c r="K55" s="3">
        <f t="shared" si="2"/>
        <v>5333.4000000000005</v>
      </c>
    </row>
    <row r="56" spans="1:11">
      <c r="A56" s="1">
        <v>51</v>
      </c>
      <c r="B56" s="9" t="s">
        <v>78</v>
      </c>
      <c r="C56" s="8" t="s">
        <v>79</v>
      </c>
      <c r="D56" s="1" t="s">
        <v>21</v>
      </c>
      <c r="E56" s="1">
        <v>1</v>
      </c>
      <c r="F56" s="3">
        <f t="shared" si="3"/>
        <v>423591</v>
      </c>
      <c r="G56" s="3">
        <v>423591</v>
      </c>
      <c r="H56" s="3">
        <v>152493</v>
      </c>
      <c r="I56" s="3">
        <f t="shared" si="0"/>
        <v>271098</v>
      </c>
      <c r="J56" s="4">
        <v>0.2</v>
      </c>
      <c r="K56" s="3">
        <f t="shared" si="2"/>
        <v>54219.600000000006</v>
      </c>
    </row>
    <row r="57" spans="1:11">
      <c r="A57" s="1">
        <v>52</v>
      </c>
      <c r="B57" s="1" t="s">
        <v>80</v>
      </c>
      <c r="C57" s="2">
        <v>2006</v>
      </c>
      <c r="D57" s="1" t="s">
        <v>21</v>
      </c>
      <c r="E57" s="1">
        <v>1</v>
      </c>
      <c r="F57" s="3">
        <f t="shared" ref="F57:F69" si="4">G57/E57</f>
        <v>25962.639999999999</v>
      </c>
      <c r="G57" s="3">
        <f>+'[4]inv mj.k 2009'!G45</f>
        <v>25962.639999999999</v>
      </c>
      <c r="H57" s="3">
        <v>10436</v>
      </c>
      <c r="I57" s="3">
        <f t="shared" si="0"/>
        <v>15526.64</v>
      </c>
      <c r="J57" s="4">
        <v>0.2</v>
      </c>
      <c r="K57" s="3">
        <f t="shared" si="2"/>
        <v>3105.328</v>
      </c>
    </row>
    <row r="58" spans="1:11">
      <c r="A58" s="1">
        <v>53</v>
      </c>
      <c r="B58" s="1" t="s">
        <v>81</v>
      </c>
      <c r="C58" s="2">
        <v>2006</v>
      </c>
      <c r="D58" s="1" t="s">
        <v>21</v>
      </c>
      <c r="E58" s="12">
        <v>1</v>
      </c>
      <c r="F58" s="3">
        <f t="shared" si="4"/>
        <v>82945.94</v>
      </c>
      <c r="G58" s="3">
        <f>+'[4]inv mj.k 2009'!G46</f>
        <v>82945.94</v>
      </c>
      <c r="H58" s="3">
        <v>33341</v>
      </c>
      <c r="I58" s="3">
        <f t="shared" si="0"/>
        <v>49604.94</v>
      </c>
      <c r="J58" s="4">
        <v>0.2</v>
      </c>
      <c r="K58" s="3">
        <f t="shared" si="2"/>
        <v>9920.9880000000012</v>
      </c>
    </row>
    <row r="59" spans="1:11">
      <c r="A59" s="1">
        <v>54</v>
      </c>
      <c r="B59" s="1" t="s">
        <v>82</v>
      </c>
      <c r="C59" s="2">
        <v>2006</v>
      </c>
      <c r="D59" s="1" t="s">
        <v>21</v>
      </c>
      <c r="E59" s="12">
        <v>2</v>
      </c>
      <c r="F59" s="3">
        <f t="shared" si="4"/>
        <v>35126.959999999999</v>
      </c>
      <c r="G59" s="3">
        <f>+'[4]inv mj.k 2009'!G47</f>
        <v>70253.919999999998</v>
      </c>
      <c r="H59" s="3">
        <v>28240</v>
      </c>
      <c r="I59" s="3">
        <f t="shared" si="0"/>
        <v>42013.919999999998</v>
      </c>
      <c r="J59" s="4">
        <v>0.2</v>
      </c>
      <c r="K59" s="3">
        <f t="shared" si="2"/>
        <v>8402.7839999999997</v>
      </c>
    </row>
    <row r="60" spans="1:11">
      <c r="A60" s="1">
        <v>55</v>
      </c>
      <c r="B60" s="1" t="s">
        <v>83</v>
      </c>
      <c r="C60" s="2">
        <v>2006</v>
      </c>
      <c r="D60" s="1" t="s">
        <v>21</v>
      </c>
      <c r="E60" s="12">
        <v>4</v>
      </c>
      <c r="F60" s="3">
        <f t="shared" si="4"/>
        <v>19770</v>
      </c>
      <c r="G60" s="3">
        <f>+'[4]inv mj.k 2009'!G48</f>
        <v>79080</v>
      </c>
      <c r="H60" s="3">
        <v>31786</v>
      </c>
      <c r="I60" s="3">
        <f t="shared" si="0"/>
        <v>47294</v>
      </c>
      <c r="J60" s="4">
        <v>0.2</v>
      </c>
      <c r="K60" s="3">
        <f t="shared" si="2"/>
        <v>9458.8000000000011</v>
      </c>
    </row>
    <row r="61" spans="1:11">
      <c r="A61" s="1">
        <v>56</v>
      </c>
      <c r="B61" s="1" t="s">
        <v>84</v>
      </c>
      <c r="C61" s="2">
        <v>2006</v>
      </c>
      <c r="D61" s="1" t="s">
        <v>21</v>
      </c>
      <c r="E61" s="12">
        <v>3</v>
      </c>
      <c r="F61" s="3">
        <f t="shared" si="4"/>
        <v>197771.69999999998</v>
      </c>
      <c r="G61" s="3">
        <f>+'[4]inv mj.k 2009'!G49</f>
        <v>593315.1</v>
      </c>
      <c r="H61" s="3">
        <v>238486</v>
      </c>
      <c r="I61" s="3">
        <f t="shared" si="0"/>
        <v>354829.1</v>
      </c>
      <c r="J61" s="4">
        <v>0.2</v>
      </c>
      <c r="K61" s="3">
        <f t="shared" si="2"/>
        <v>70965.819999999992</v>
      </c>
    </row>
    <row r="62" spans="1:11">
      <c r="A62" s="1">
        <v>57</v>
      </c>
      <c r="B62" s="1" t="s">
        <v>85</v>
      </c>
      <c r="C62" s="2">
        <v>2006</v>
      </c>
      <c r="D62" s="1" t="s">
        <v>21</v>
      </c>
      <c r="E62" s="12">
        <v>1</v>
      </c>
      <c r="F62" s="3">
        <f t="shared" si="4"/>
        <v>197771.7</v>
      </c>
      <c r="G62" s="3">
        <f>+'[4]inv mj.k 2009'!G50</f>
        <v>197771.7</v>
      </c>
      <c r="H62" s="3">
        <v>79495</v>
      </c>
      <c r="I62" s="3">
        <f t="shared" si="0"/>
        <v>118276.70000000001</v>
      </c>
      <c r="J62" s="4">
        <v>0.2</v>
      </c>
      <c r="K62" s="3">
        <f t="shared" si="2"/>
        <v>23655.340000000004</v>
      </c>
    </row>
    <row r="63" spans="1:11">
      <c r="A63" s="1">
        <v>58</v>
      </c>
      <c r="B63" s="1" t="s">
        <v>86</v>
      </c>
      <c r="C63" s="2">
        <v>2006</v>
      </c>
      <c r="D63" s="1" t="s">
        <v>21</v>
      </c>
      <c r="E63" s="12">
        <v>1</v>
      </c>
      <c r="F63" s="3">
        <f t="shared" si="4"/>
        <v>44270.400000000001</v>
      </c>
      <c r="G63" s="3">
        <f>+'[4]inv mj.k 2009'!G51</f>
        <v>44270.400000000001</v>
      </c>
      <c r="H63" s="3">
        <v>17795</v>
      </c>
      <c r="I63" s="3">
        <f t="shared" si="0"/>
        <v>26475.4</v>
      </c>
      <c r="J63" s="4">
        <v>0.2</v>
      </c>
      <c r="K63" s="3">
        <f t="shared" si="2"/>
        <v>5295.0800000000008</v>
      </c>
    </row>
    <row r="64" spans="1:11">
      <c r="A64" s="1">
        <v>59</v>
      </c>
      <c r="B64" s="1" t="s">
        <v>87</v>
      </c>
      <c r="C64" s="2">
        <v>2006</v>
      </c>
      <c r="D64" s="1" t="s">
        <v>21</v>
      </c>
      <c r="E64" s="12">
        <v>1</v>
      </c>
      <c r="F64" s="3">
        <f t="shared" si="4"/>
        <v>180317.28</v>
      </c>
      <c r="G64" s="3">
        <f>+'[4]inv mj.k 2009'!G52</f>
        <v>180317.28</v>
      </c>
      <c r="H64" s="3">
        <v>72479</v>
      </c>
      <c r="I64" s="3">
        <f t="shared" si="0"/>
        <v>107838.28</v>
      </c>
      <c r="J64" s="4">
        <v>0.2</v>
      </c>
      <c r="K64" s="3">
        <f t="shared" si="2"/>
        <v>21567.656000000003</v>
      </c>
    </row>
    <row r="65" spans="1:11">
      <c r="A65" s="1">
        <v>60</v>
      </c>
      <c r="B65" s="1" t="s">
        <v>88</v>
      </c>
      <c r="C65" s="2">
        <v>2006</v>
      </c>
      <c r="D65" s="1" t="s">
        <v>21</v>
      </c>
      <c r="E65" s="12">
        <v>1</v>
      </c>
      <c r="F65" s="3">
        <f t="shared" si="4"/>
        <v>1142148</v>
      </c>
      <c r="G65" s="3">
        <f>+'[4]inv mj.k 2009'!G53</f>
        <v>1142148</v>
      </c>
      <c r="H65" s="3">
        <v>454377</v>
      </c>
      <c r="I65" s="3">
        <f t="shared" si="0"/>
        <v>687771</v>
      </c>
      <c r="J65" s="4">
        <v>0.2</v>
      </c>
      <c r="K65" s="3">
        <f t="shared" si="2"/>
        <v>137554.20000000001</v>
      </c>
    </row>
    <row r="66" spans="1:11">
      <c r="A66" s="1">
        <v>61</v>
      </c>
      <c r="B66" s="1" t="s">
        <v>89</v>
      </c>
      <c r="C66" s="2">
        <v>2006</v>
      </c>
      <c r="D66" s="1" t="s">
        <v>21</v>
      </c>
      <c r="E66" s="12">
        <v>1</v>
      </c>
      <c r="F66" s="3">
        <f t="shared" si="4"/>
        <v>77588.539999999994</v>
      </c>
      <c r="G66" s="3">
        <f>+'[4]inv mj.k 2009'!G54</f>
        <v>77588.539999999994</v>
      </c>
      <c r="H66" s="3">
        <v>31187</v>
      </c>
      <c r="I66" s="3">
        <f t="shared" si="0"/>
        <v>46401.539999999994</v>
      </c>
      <c r="J66" s="4">
        <v>0.2</v>
      </c>
      <c r="K66" s="3">
        <f t="shared" si="2"/>
        <v>9280.3079999999991</v>
      </c>
    </row>
    <row r="67" spans="1:11">
      <c r="A67" s="1">
        <v>62</v>
      </c>
      <c r="B67" s="1" t="s">
        <v>90</v>
      </c>
      <c r="C67" s="2">
        <v>2006</v>
      </c>
      <c r="D67" s="1" t="s">
        <v>21</v>
      </c>
      <c r="E67" s="12">
        <v>1</v>
      </c>
      <c r="F67" s="3">
        <f t="shared" si="4"/>
        <v>28437.620000000003</v>
      </c>
      <c r="G67" s="3">
        <f>+'[4]inv mj.k 2009'!G55</f>
        <v>28437.620000000003</v>
      </c>
      <c r="H67" s="3">
        <v>11431</v>
      </c>
      <c r="I67" s="3">
        <f t="shared" si="0"/>
        <v>17006.620000000003</v>
      </c>
      <c r="J67" s="4">
        <v>0.2</v>
      </c>
      <c r="K67" s="3">
        <f t="shared" si="2"/>
        <v>3401.3240000000005</v>
      </c>
    </row>
    <row r="68" spans="1:11">
      <c r="A68" s="1">
        <v>63</v>
      </c>
      <c r="B68" s="1" t="s">
        <v>91</v>
      </c>
      <c r="C68" s="2">
        <v>2006</v>
      </c>
      <c r="D68" s="1" t="s">
        <v>21</v>
      </c>
      <c r="E68" s="12">
        <v>1</v>
      </c>
      <c r="F68" s="3">
        <f t="shared" si="4"/>
        <v>19834.900000000001</v>
      </c>
      <c r="G68" s="3">
        <f>+'[4]inv mj.k 2009'!G56</f>
        <v>19834.900000000001</v>
      </c>
      <c r="H68" s="3">
        <v>7973</v>
      </c>
      <c r="I68" s="3">
        <f t="shared" si="0"/>
        <v>11861.900000000001</v>
      </c>
      <c r="J68" s="4">
        <v>0.2</v>
      </c>
      <c r="K68" s="3">
        <f t="shared" si="2"/>
        <v>2372.3800000000006</v>
      </c>
    </row>
    <row r="69" spans="1:11">
      <c r="A69" s="1">
        <v>64</v>
      </c>
      <c r="B69" s="1" t="s">
        <v>92</v>
      </c>
      <c r="C69" s="2">
        <v>2006</v>
      </c>
      <c r="D69" s="1" t="s">
        <v>21</v>
      </c>
      <c r="E69" s="12">
        <v>1</v>
      </c>
      <c r="F69" s="3">
        <f t="shared" si="4"/>
        <v>39669.800000000003</v>
      </c>
      <c r="G69" s="3">
        <f>+'[4]inv mj.k 2009'!G57</f>
        <v>39669.800000000003</v>
      </c>
      <c r="H69" s="3">
        <v>15946</v>
      </c>
      <c r="I69" s="3">
        <f t="shared" si="0"/>
        <v>23723.800000000003</v>
      </c>
      <c r="J69" s="4">
        <v>0.2</v>
      </c>
      <c r="K69" s="3">
        <f t="shared" si="2"/>
        <v>4744.7600000000011</v>
      </c>
    </row>
    <row r="70" spans="1:11">
      <c r="A70" s="1">
        <v>65</v>
      </c>
      <c r="B70" s="1" t="str">
        <f>+[4]bl.vend!C91</f>
        <v>eurosistemalbania</v>
      </c>
      <c r="C70" s="11" t="s">
        <v>93</v>
      </c>
      <c r="D70" s="1" t="s">
        <v>21</v>
      </c>
      <c r="E70" s="12">
        <v>1</v>
      </c>
      <c r="F70" s="3">
        <f>+G70</f>
        <v>183400</v>
      </c>
      <c r="G70" s="3">
        <f>+[4]bl.vend!E91</f>
        <v>183400</v>
      </c>
      <c r="H70" s="3">
        <v>0</v>
      </c>
      <c r="I70" s="3">
        <f t="shared" si="0"/>
        <v>183400</v>
      </c>
      <c r="J70" s="4">
        <v>0.2</v>
      </c>
      <c r="K70" s="3">
        <f t="shared" si="2"/>
        <v>36680</v>
      </c>
    </row>
    <row r="71" spans="1:11">
      <c r="A71" s="1">
        <v>66</v>
      </c>
      <c r="B71" s="1" t="str">
        <f>+[4]bl.vend!D41</f>
        <v>pompa uji</v>
      </c>
      <c r="C71" s="11" t="str">
        <f>+[4]bl.vend!B41</f>
        <v>09.07.09</v>
      </c>
      <c r="D71" s="1" t="s">
        <v>21</v>
      </c>
      <c r="E71" s="12">
        <v>1</v>
      </c>
      <c r="F71" s="3">
        <f t="shared" ref="F71:F84" si="5">+G71</f>
        <v>65000</v>
      </c>
      <c r="G71" s="3">
        <f>+[4]bl.vend!E41</f>
        <v>65000</v>
      </c>
      <c r="H71" s="3">
        <v>10382</v>
      </c>
      <c r="I71" s="3">
        <f>G71-H71</f>
        <v>54618</v>
      </c>
      <c r="J71" s="4">
        <v>0.2</v>
      </c>
      <c r="K71" s="3">
        <f t="shared" si="2"/>
        <v>10923.6</v>
      </c>
    </row>
    <row r="72" spans="1:11">
      <c r="A72" s="1">
        <v>67</v>
      </c>
      <c r="B72" s="1" t="str">
        <f>+[4]bl.vend!C26</f>
        <v>la prealpina</v>
      </c>
      <c r="C72" s="11" t="str">
        <f>+[4]bl.vend!B26</f>
        <v>20.05.09</v>
      </c>
      <c r="D72" s="1" t="s">
        <v>21</v>
      </c>
      <c r="E72" s="12">
        <v>1</v>
      </c>
      <c r="F72" s="3">
        <f t="shared" si="5"/>
        <v>13950</v>
      </c>
      <c r="G72" s="3">
        <f>+[4]bl.vend!E26</f>
        <v>13950</v>
      </c>
      <c r="H72" s="3">
        <v>2651</v>
      </c>
      <c r="I72" s="3">
        <f t="shared" si="0"/>
        <v>11299</v>
      </c>
      <c r="J72" s="4">
        <v>0.2</v>
      </c>
      <c r="K72" s="3">
        <f>+I72*J72</f>
        <v>2259.8000000000002</v>
      </c>
    </row>
    <row r="73" spans="1:11">
      <c r="A73" s="1">
        <v>68</v>
      </c>
      <c r="B73" s="1" t="str">
        <f>+[4]bl.vend!C58</f>
        <v>la prealpina</v>
      </c>
      <c r="C73" s="11" t="str">
        <f>+[4]bl.vend!B58</f>
        <v>15.09.09</v>
      </c>
      <c r="D73" s="1" t="s">
        <v>21</v>
      </c>
      <c r="E73" s="12">
        <v>1</v>
      </c>
      <c r="F73" s="3">
        <f t="shared" si="5"/>
        <v>22692</v>
      </c>
      <c r="G73" s="3">
        <f>+[4]bl.vend!E58</f>
        <v>22692</v>
      </c>
      <c r="H73" s="3">
        <v>750</v>
      </c>
      <c r="I73" s="3">
        <f t="shared" ref="I73:I135" si="6">G73-H73</f>
        <v>21942</v>
      </c>
      <c r="J73" s="4">
        <v>0.2</v>
      </c>
      <c r="K73" s="3">
        <f t="shared" si="2"/>
        <v>4388.4000000000005</v>
      </c>
    </row>
    <row r="74" spans="1:11">
      <c r="A74" s="1">
        <v>69</v>
      </c>
      <c r="B74" s="1" t="str">
        <f>+[4]bl.vend!C98</f>
        <v>iva elektrika</v>
      </c>
      <c r="C74" s="11">
        <f>+[4]bl.vend!B98</f>
        <v>0.46607638888888886</v>
      </c>
      <c r="D74" s="1" t="s">
        <v>21</v>
      </c>
      <c r="E74" s="12">
        <v>1</v>
      </c>
      <c r="F74" s="3">
        <f t="shared" si="5"/>
        <v>64650</v>
      </c>
      <c r="G74" s="3">
        <f>+[4]bl.vend!E98+[4]bl.vend!F99+[4]bl.vend!E103</f>
        <v>64650</v>
      </c>
      <c r="H74" s="3">
        <v>0</v>
      </c>
      <c r="I74" s="3">
        <f t="shared" si="6"/>
        <v>64650</v>
      </c>
      <c r="J74" s="4">
        <v>0.2</v>
      </c>
      <c r="K74" s="3">
        <f>+I74*J74</f>
        <v>12930</v>
      </c>
    </row>
    <row r="75" spans="1:11">
      <c r="A75" s="1">
        <v>70</v>
      </c>
      <c r="B75" s="1" t="str">
        <f>+[4]bl.vend!C103</f>
        <v>iva elektrika</v>
      </c>
      <c r="C75" s="11" t="str">
        <f>+[4]bl.vend!B121</f>
        <v>21.12.09</v>
      </c>
      <c r="D75" s="1" t="s">
        <v>21</v>
      </c>
      <c r="E75" s="12">
        <v>1</v>
      </c>
      <c r="F75" s="3">
        <f t="shared" si="5"/>
        <v>37367</v>
      </c>
      <c r="G75" s="3">
        <f>+[4]bl.vend!E121</f>
        <v>37367</v>
      </c>
      <c r="H75" s="3">
        <v>0</v>
      </c>
      <c r="I75" s="3">
        <f t="shared" si="6"/>
        <v>37367</v>
      </c>
      <c r="J75" s="4">
        <v>0.2</v>
      </c>
      <c r="K75" s="3">
        <f>+I75*J75</f>
        <v>7473.4000000000005</v>
      </c>
    </row>
    <row r="76" spans="1:11">
      <c r="A76" s="1">
        <v>71</v>
      </c>
      <c r="B76" s="1" t="str">
        <f>+[4]bl.vend!D49</f>
        <v>ford ronger</v>
      </c>
      <c r="C76" s="11" t="str">
        <f>+[4]bl.vend!B49</f>
        <v>31.08.09</v>
      </c>
      <c r="D76" s="1" t="s">
        <v>21</v>
      </c>
      <c r="E76" s="12">
        <v>1</v>
      </c>
      <c r="F76" s="3">
        <f t="shared" si="5"/>
        <v>2426783.4</v>
      </c>
      <c r="G76" s="3">
        <f>+[4]bl.vend!E49</f>
        <v>2426783.4</v>
      </c>
      <c r="H76" s="3">
        <v>236611</v>
      </c>
      <c r="I76" s="3">
        <f t="shared" si="6"/>
        <v>2190172.4</v>
      </c>
      <c r="J76" s="4">
        <v>0.2</v>
      </c>
      <c r="K76" s="3">
        <f t="shared" ref="K76:K91" si="7">+I76*J76/12*3</f>
        <v>109508.62</v>
      </c>
    </row>
    <row r="77" spans="1:11">
      <c r="A77" s="1">
        <v>72</v>
      </c>
      <c r="B77" s="1" t="str">
        <f>+[4]bl.vend!D50</f>
        <v>ford tranzit</v>
      </c>
      <c r="C77" s="11" t="str">
        <f>+[4]bl.vend!B50</f>
        <v>31.08.09</v>
      </c>
      <c r="D77" s="1" t="s">
        <v>21</v>
      </c>
      <c r="E77" s="12">
        <v>1</v>
      </c>
      <c r="F77" s="3">
        <f t="shared" si="5"/>
        <v>2592245.9</v>
      </c>
      <c r="G77" s="3">
        <f>+[4]bl.vend!E50</f>
        <v>2592245.9</v>
      </c>
      <c r="H77" s="3">
        <v>252744</v>
      </c>
      <c r="I77" s="3">
        <f t="shared" si="6"/>
        <v>2339501.9</v>
      </c>
      <c r="J77" s="4">
        <v>0.2</v>
      </c>
      <c r="K77" s="3">
        <f t="shared" si="7"/>
        <v>116975.095</v>
      </c>
    </row>
    <row r="78" spans="1:11">
      <c r="A78" s="1">
        <v>73</v>
      </c>
      <c r="B78" s="1" t="str">
        <f>+[4]bl.vend!C177</f>
        <v>univers reklama    tabele</v>
      </c>
      <c r="C78" s="20" t="str">
        <f>+[4]bl.vend!B125</f>
        <v>30.12.09</v>
      </c>
      <c r="D78" s="1" t="s">
        <v>21</v>
      </c>
      <c r="E78" s="12">
        <v>1</v>
      </c>
      <c r="F78" s="3">
        <f t="shared" si="5"/>
        <v>270600</v>
      </c>
      <c r="G78" s="3">
        <f>+[4]bl.vend!E125</f>
        <v>270600</v>
      </c>
      <c r="H78" s="3">
        <v>0</v>
      </c>
      <c r="I78" s="3">
        <f t="shared" si="6"/>
        <v>270600</v>
      </c>
      <c r="J78" s="4">
        <v>0.2</v>
      </c>
      <c r="K78" s="3">
        <f t="shared" si="7"/>
        <v>13530</v>
      </c>
    </row>
    <row r="79" spans="1:11">
      <c r="A79" s="1">
        <v>74</v>
      </c>
      <c r="B79" s="1" t="str">
        <f>+[4]bl.vend!C126</f>
        <v>praktiker</v>
      </c>
      <c r="C79" s="2"/>
      <c r="D79" s="1" t="s">
        <v>21</v>
      </c>
      <c r="E79" s="12">
        <v>1</v>
      </c>
      <c r="F79" s="3">
        <f t="shared" si="5"/>
        <v>57833.33</v>
      </c>
      <c r="G79" s="3">
        <f>+[4]bl.vend!D186</f>
        <v>57833.33</v>
      </c>
      <c r="H79" s="3">
        <v>0</v>
      </c>
      <c r="I79" s="3">
        <f t="shared" si="6"/>
        <v>57833.33</v>
      </c>
      <c r="J79" s="4">
        <v>0.2</v>
      </c>
      <c r="K79" s="3">
        <f t="shared" si="7"/>
        <v>2891.6665000000003</v>
      </c>
    </row>
    <row r="80" spans="1:11">
      <c r="A80" s="1">
        <v>76</v>
      </c>
      <c r="B80" s="1" t="str">
        <f>+[4]imp.09!E60</f>
        <v>pjese mak.mb.bari  cop</v>
      </c>
      <c r="C80" s="2" t="str">
        <f>+[4]imp.09!B60</f>
        <v>12.09.09</v>
      </c>
      <c r="D80" s="1" t="s">
        <v>21</v>
      </c>
      <c r="E80" s="12">
        <v>1</v>
      </c>
      <c r="F80" s="3">
        <f t="shared" si="5"/>
        <v>170121.01</v>
      </c>
      <c r="G80" s="3">
        <f>+[4]imp.09!N60</f>
        <v>170121.01</v>
      </c>
      <c r="H80" s="3">
        <v>16586.75</v>
      </c>
      <c r="I80" s="3">
        <f t="shared" si="6"/>
        <v>153534.26</v>
      </c>
      <c r="J80" s="4">
        <v>0.2</v>
      </c>
      <c r="K80" s="3">
        <f t="shared" si="7"/>
        <v>7676.7129999999997</v>
      </c>
    </row>
    <row r="81" spans="1:11">
      <c r="A81" s="1">
        <v>77</v>
      </c>
      <c r="B81" s="1" t="str">
        <f>+[4]imp.09!E63</f>
        <v>makine per mbjellje basri</v>
      </c>
      <c r="C81" s="2" t="str">
        <f>+[4]imp.09!B63</f>
        <v>12.09.09</v>
      </c>
      <c r="D81" s="1" t="s">
        <v>21</v>
      </c>
      <c r="E81" s="12">
        <v>1</v>
      </c>
      <c r="F81" s="3">
        <f t="shared" si="5"/>
        <v>1936326</v>
      </c>
      <c r="G81" s="3">
        <f>+[4]imp.09!N63</f>
        <v>1936326</v>
      </c>
      <c r="H81" s="3">
        <v>188791.5</v>
      </c>
      <c r="I81" s="3">
        <f t="shared" si="6"/>
        <v>1747534.5</v>
      </c>
      <c r="J81" s="4">
        <v>0.2</v>
      </c>
      <c r="K81" s="3">
        <f t="shared" si="7"/>
        <v>87376.725000000006</v>
      </c>
    </row>
    <row r="82" spans="1:11">
      <c r="A82" s="1">
        <v>78</v>
      </c>
      <c r="B82" s="1" t="str">
        <f>+[4]imp.09!E71</f>
        <v>mak perd.mbj.bari</v>
      </c>
      <c r="C82" s="2" t="str">
        <f>+[4]imp.09!B71</f>
        <v>16.09.09</v>
      </c>
      <c r="D82" s="1" t="s">
        <v>21</v>
      </c>
      <c r="E82" s="12">
        <v>1</v>
      </c>
      <c r="F82" s="3">
        <f t="shared" si="5"/>
        <v>615678</v>
      </c>
      <c r="G82" s="3">
        <f>+[4]imp.09!N71</f>
        <v>615678</v>
      </c>
      <c r="H82" s="3">
        <v>60028.7</v>
      </c>
      <c r="I82" s="3">
        <f t="shared" si="6"/>
        <v>555649.30000000005</v>
      </c>
      <c r="J82" s="4">
        <v>0.2</v>
      </c>
      <c r="K82" s="3">
        <f t="shared" si="7"/>
        <v>27782.465000000004</v>
      </c>
    </row>
    <row r="83" spans="1:11">
      <c r="A83" s="1">
        <v>79</v>
      </c>
      <c r="B83" s="1" t="str">
        <f>+[4]imp.09!E72</f>
        <v>makine per mbjellje basri</v>
      </c>
      <c r="C83" s="2" t="s">
        <v>94</v>
      </c>
      <c r="D83" s="1" t="s">
        <v>21</v>
      </c>
      <c r="E83" s="12">
        <v>1</v>
      </c>
      <c r="F83" s="3">
        <f t="shared" si="5"/>
        <v>3981381</v>
      </c>
      <c r="G83" s="3">
        <f>+[4]imp.09!N72</f>
        <v>3981381</v>
      </c>
      <c r="H83" s="3">
        <v>199069</v>
      </c>
      <c r="I83" s="3">
        <f t="shared" si="6"/>
        <v>3782312</v>
      </c>
      <c r="J83" s="4">
        <v>0.2</v>
      </c>
      <c r="K83" s="3">
        <f t="shared" si="7"/>
        <v>189115.6</v>
      </c>
    </row>
    <row r="84" spans="1:11">
      <c r="A84" s="1">
        <v>80</v>
      </c>
      <c r="B84" s="1" t="str">
        <f>+[4]bl.vend!C184</f>
        <v xml:space="preserve">kmpjutri turit </v>
      </c>
      <c r="C84" s="2"/>
      <c r="D84" s="1" t="s">
        <v>21</v>
      </c>
      <c r="E84" s="12">
        <v>1</v>
      </c>
      <c r="F84" s="3">
        <f t="shared" si="5"/>
        <v>41667</v>
      </c>
      <c r="G84" s="3">
        <f>+[4]bl.vend!D184</f>
        <v>41667</v>
      </c>
      <c r="H84" s="3">
        <v>0</v>
      </c>
      <c r="I84" s="3">
        <f t="shared" si="6"/>
        <v>41667</v>
      </c>
      <c r="J84" s="4">
        <v>0.25</v>
      </c>
      <c r="K84" s="3">
        <f t="shared" si="7"/>
        <v>2604.1875</v>
      </c>
    </row>
    <row r="85" spans="1:11">
      <c r="A85" s="1">
        <v>81</v>
      </c>
      <c r="B85" s="21" t="str">
        <f>+[4]llog.370!H118</f>
        <v>Pompa 2P</v>
      </c>
      <c r="C85" s="2">
        <v>2007</v>
      </c>
      <c r="D85" s="1" t="s">
        <v>21</v>
      </c>
      <c r="E85" s="12">
        <v>1</v>
      </c>
      <c r="F85" s="3">
        <v>116151</v>
      </c>
      <c r="G85" s="3">
        <f>+[4]llog.370!G118</f>
        <v>116150.98</v>
      </c>
      <c r="H85" s="3">
        <v>46460</v>
      </c>
      <c r="I85" s="3">
        <f t="shared" si="6"/>
        <v>69690.98</v>
      </c>
      <c r="J85" s="4">
        <v>0.2</v>
      </c>
      <c r="K85" s="3">
        <f t="shared" si="7"/>
        <v>3484.549</v>
      </c>
    </row>
    <row r="86" spans="1:11">
      <c r="A86" s="1">
        <v>82</v>
      </c>
      <c r="B86" s="1" t="str">
        <f>+'[4]inv mj.k 2009'!B75</f>
        <v>shperndares dheu   cop</v>
      </c>
      <c r="C86" s="2"/>
      <c r="D86" s="1" t="s">
        <v>21</v>
      </c>
      <c r="E86" s="1">
        <v>1</v>
      </c>
      <c r="F86" s="3">
        <f>+'[4]inv mj.k 2009'!F75</f>
        <v>67039</v>
      </c>
      <c r="G86" s="3">
        <f>+'[4]inv mj.k 2009'!G75</f>
        <v>67039</v>
      </c>
      <c r="H86" s="3">
        <v>26813.8</v>
      </c>
      <c r="I86" s="3">
        <f t="shared" si="6"/>
        <v>40225.199999999997</v>
      </c>
      <c r="J86" s="4">
        <v>0.2</v>
      </c>
      <c r="K86" s="3">
        <f t="shared" si="7"/>
        <v>2011.2599999999998</v>
      </c>
    </row>
    <row r="87" spans="1:11">
      <c r="A87" s="1">
        <v>83</v>
      </c>
      <c r="B87" s="1" t="str">
        <f>+'[5]blerjet 2010'!H327</f>
        <v>kasa</v>
      </c>
      <c r="C87" s="22" t="str">
        <f>+'[5]blerjet 2010'!C232</f>
        <v>12.02.2010</v>
      </c>
      <c r="D87" s="1" t="s">
        <v>21</v>
      </c>
      <c r="E87" s="1">
        <v>1</v>
      </c>
      <c r="F87" s="3">
        <f>+'[5]blerjet 2010'!E327</f>
        <v>34050</v>
      </c>
      <c r="G87" s="3">
        <f>+F87</f>
        <v>34050</v>
      </c>
      <c r="H87" s="3">
        <v>6810</v>
      </c>
      <c r="I87" s="3">
        <f t="shared" si="6"/>
        <v>27240</v>
      </c>
      <c r="J87" s="4">
        <v>0.2</v>
      </c>
      <c r="K87" s="3">
        <f t="shared" si="7"/>
        <v>1362</v>
      </c>
    </row>
    <row r="88" spans="1:11">
      <c r="A88" s="1">
        <v>84</v>
      </c>
      <c r="B88" s="1" t="str">
        <f>+'[5]blerjet 2010'!D329</f>
        <v>kompjuter turi</v>
      </c>
      <c r="C88" s="2" t="s">
        <v>95</v>
      </c>
      <c r="D88" s="1" t="s">
        <v>21</v>
      </c>
      <c r="E88" s="1">
        <v>1</v>
      </c>
      <c r="F88" s="3">
        <f>+'[5]blerjet 2010'!E329</f>
        <v>154210</v>
      </c>
      <c r="G88" s="3">
        <f>+F88</f>
        <v>154210</v>
      </c>
      <c r="H88" s="3">
        <v>32127</v>
      </c>
      <c r="I88" s="3">
        <f t="shared" si="6"/>
        <v>122083</v>
      </c>
      <c r="J88" s="4">
        <v>0.25</v>
      </c>
      <c r="K88" s="3">
        <f t="shared" si="7"/>
        <v>7630.1875</v>
      </c>
    </row>
    <row r="89" spans="1:11">
      <c r="A89" s="1">
        <v>85</v>
      </c>
      <c r="B89" s="1" t="str">
        <f>+'[5]blerjet 2010'!H330</f>
        <v>sistemi  kamer vezhgimi</v>
      </c>
      <c r="C89" s="2" t="str">
        <f>+'[5]blerjet 2010'!C148</f>
        <v>26.06.2010</v>
      </c>
      <c r="D89" s="1" t="s">
        <v>21</v>
      </c>
      <c r="E89" s="1">
        <v>1</v>
      </c>
      <c r="F89" s="3">
        <f>+'[5]blerjet 2010'!E330</f>
        <v>295783</v>
      </c>
      <c r="G89" s="3">
        <f>+F89</f>
        <v>295783</v>
      </c>
      <c r="H89" s="3">
        <v>24649</v>
      </c>
      <c r="I89" s="3">
        <f t="shared" si="6"/>
        <v>271134</v>
      </c>
      <c r="J89" s="4">
        <v>0.2</v>
      </c>
      <c r="K89" s="3">
        <f t="shared" si="7"/>
        <v>13556.7</v>
      </c>
    </row>
    <row r="90" spans="1:11">
      <c r="A90" s="1">
        <v>86</v>
      </c>
      <c r="B90" s="1" t="str">
        <f>+'[5]blerjet 2010'!H341</f>
        <v>kompjuter +……..</v>
      </c>
      <c r="C90" s="22" t="s">
        <v>96</v>
      </c>
      <c r="D90" s="1" t="s">
        <v>21</v>
      </c>
      <c r="E90" s="1">
        <v>1</v>
      </c>
      <c r="F90" s="3">
        <f>+[5]bl.vend!E101</f>
        <v>24025</v>
      </c>
      <c r="G90" s="3">
        <f>+F90</f>
        <v>24025</v>
      </c>
      <c r="H90" s="3">
        <v>1001</v>
      </c>
      <c r="I90" s="3">
        <f t="shared" si="6"/>
        <v>23024</v>
      </c>
      <c r="J90" s="4">
        <v>0.25</v>
      </c>
      <c r="K90" s="3">
        <f t="shared" si="7"/>
        <v>1439</v>
      </c>
    </row>
    <row r="91" spans="1:11">
      <c r="A91" s="1">
        <v>87</v>
      </c>
      <c r="B91" s="1" t="str">
        <f>+[5]bl.vend!D364</f>
        <v>stufa alogenia solaria</v>
      </c>
      <c r="C91" s="2" t="str">
        <f>+[5]bl.vend!B364</f>
        <v>11.12.10</v>
      </c>
      <c r="D91" s="1" t="s">
        <v>21</v>
      </c>
      <c r="E91" s="1">
        <v>1</v>
      </c>
      <c r="F91" s="3">
        <f>+[5]bl.vend!E364</f>
        <v>6733</v>
      </c>
      <c r="G91" s="3">
        <f>+F91</f>
        <v>6733</v>
      </c>
      <c r="H91" s="3">
        <v>0</v>
      </c>
      <c r="I91" s="3">
        <f t="shared" si="6"/>
        <v>6733</v>
      </c>
      <c r="J91" s="4">
        <v>0.2</v>
      </c>
      <c r="K91" s="3">
        <f t="shared" si="7"/>
        <v>336.65000000000003</v>
      </c>
    </row>
    <row r="92" spans="1:11">
      <c r="A92" s="1">
        <v>88</v>
      </c>
      <c r="B92" s="2" t="s">
        <v>97</v>
      </c>
      <c r="C92" s="23" t="s">
        <v>98</v>
      </c>
      <c r="D92" s="1" t="s">
        <v>21</v>
      </c>
      <c r="E92" s="2">
        <v>2</v>
      </c>
      <c r="F92" s="3">
        <v>140000</v>
      </c>
      <c r="G92" s="3">
        <f>+F92*E92</f>
        <v>280000</v>
      </c>
      <c r="H92" s="3">
        <v>0</v>
      </c>
      <c r="I92" s="3">
        <f t="shared" si="6"/>
        <v>280000</v>
      </c>
      <c r="J92" s="4">
        <v>0.2</v>
      </c>
      <c r="K92" s="3">
        <f>+(I92*J92)/12*6</f>
        <v>28000</v>
      </c>
    </row>
    <row r="93" spans="1:11" ht="15">
      <c r="A93" s="1">
        <v>89</v>
      </c>
      <c r="B93" s="2" t="s">
        <v>99</v>
      </c>
      <c r="C93" s="24" t="s">
        <v>100</v>
      </c>
      <c r="D93" s="1" t="s">
        <v>21</v>
      </c>
      <c r="E93" s="2">
        <v>2</v>
      </c>
      <c r="F93" s="3">
        <f>1820*141.8</f>
        <v>258076.00000000003</v>
      </c>
      <c r="G93" s="3">
        <f t="shared" ref="G93:G143" si="8">+F93*E93</f>
        <v>516152.00000000006</v>
      </c>
      <c r="H93" s="3">
        <v>0</v>
      </c>
      <c r="I93" s="3">
        <f t="shared" si="6"/>
        <v>516152.00000000006</v>
      </c>
      <c r="J93" s="4">
        <v>0.2</v>
      </c>
      <c r="K93" s="3">
        <f>+(I93*J93)/12*6</f>
        <v>51615.200000000012</v>
      </c>
    </row>
    <row r="94" spans="1:11">
      <c r="A94" s="1">
        <v>90</v>
      </c>
      <c r="B94" s="2" t="s">
        <v>101</v>
      </c>
      <c r="C94" s="25" t="s">
        <v>102</v>
      </c>
      <c r="D94" s="1" t="s">
        <v>21</v>
      </c>
      <c r="E94" s="2">
        <v>1</v>
      </c>
      <c r="F94" s="3">
        <f>18250*140.19</f>
        <v>2558467.5</v>
      </c>
      <c r="G94" s="3">
        <f t="shared" si="8"/>
        <v>2558467.5</v>
      </c>
      <c r="H94" s="3">
        <v>0</v>
      </c>
      <c r="I94" s="3">
        <f t="shared" si="6"/>
        <v>2558467.5</v>
      </c>
      <c r="J94" s="4">
        <v>0.2</v>
      </c>
      <c r="K94" s="3">
        <f>+(I94*J94)/12*6</f>
        <v>255846.75</v>
      </c>
    </row>
    <row r="95" spans="1:11">
      <c r="A95" s="1">
        <v>91</v>
      </c>
      <c r="B95" s="2" t="s">
        <v>103</v>
      </c>
      <c r="C95" s="25" t="s">
        <v>102</v>
      </c>
      <c r="D95" s="1" t="s">
        <v>21</v>
      </c>
      <c r="E95" s="2">
        <v>1</v>
      </c>
      <c r="F95" s="3">
        <f>11768*140.19</f>
        <v>1649755.92</v>
      </c>
      <c r="G95" s="3">
        <f t="shared" si="8"/>
        <v>1649755.92</v>
      </c>
      <c r="H95" s="3">
        <v>0</v>
      </c>
      <c r="I95" s="3">
        <f t="shared" si="6"/>
        <v>1649755.92</v>
      </c>
      <c r="J95" s="4">
        <v>0.2</v>
      </c>
      <c r="K95" s="3">
        <f>+(I95*J95)/12*6</f>
        <v>164975.592</v>
      </c>
    </row>
    <row r="96" spans="1:11">
      <c r="A96" s="1">
        <v>93</v>
      </c>
      <c r="B96" s="2" t="s">
        <v>104</v>
      </c>
      <c r="C96" s="23" t="s">
        <v>105</v>
      </c>
      <c r="D96" s="1" t="s">
        <v>21</v>
      </c>
      <c r="E96" s="2">
        <v>1</v>
      </c>
      <c r="F96" s="3">
        <v>36000</v>
      </c>
      <c r="G96" s="3">
        <f t="shared" si="8"/>
        <v>36000</v>
      </c>
      <c r="H96" s="3">
        <v>0</v>
      </c>
      <c r="I96" s="3">
        <f t="shared" si="6"/>
        <v>36000</v>
      </c>
      <c r="J96" s="4">
        <v>0.2</v>
      </c>
      <c r="K96" s="3">
        <f>+(I96*J96)/12*4</f>
        <v>2400</v>
      </c>
    </row>
    <row r="97" spans="1:11">
      <c r="A97" s="1">
        <v>94</v>
      </c>
      <c r="B97" s="2" t="s">
        <v>106</v>
      </c>
      <c r="C97" s="23" t="s">
        <v>107</v>
      </c>
      <c r="D97" s="1" t="s">
        <v>21</v>
      </c>
      <c r="E97" s="2">
        <v>1</v>
      </c>
      <c r="F97" s="3">
        <v>140000</v>
      </c>
      <c r="G97" s="3">
        <f t="shared" si="8"/>
        <v>140000</v>
      </c>
      <c r="H97" s="3">
        <v>0</v>
      </c>
      <c r="I97" s="3">
        <f t="shared" si="6"/>
        <v>140000</v>
      </c>
      <c r="J97" s="4">
        <v>0.2</v>
      </c>
      <c r="K97" s="3">
        <f>+(I97*J97)/12*4</f>
        <v>9333.3333333333339</v>
      </c>
    </row>
    <row r="98" spans="1:11">
      <c r="A98" s="1">
        <v>95</v>
      </c>
      <c r="B98" s="2" t="s">
        <v>108</v>
      </c>
      <c r="C98" s="25" t="s">
        <v>109</v>
      </c>
      <c r="D98" s="1" t="s">
        <v>21</v>
      </c>
      <c r="E98" s="2">
        <v>1</v>
      </c>
      <c r="F98" s="3">
        <v>25242</v>
      </c>
      <c r="G98" s="3">
        <f t="shared" si="8"/>
        <v>25242</v>
      </c>
      <c r="H98" s="3">
        <v>0</v>
      </c>
      <c r="I98" s="3">
        <f t="shared" si="6"/>
        <v>25242</v>
      </c>
      <c r="J98" s="4">
        <v>0.2</v>
      </c>
      <c r="K98" s="3">
        <f>+(I98*J98)/12*4</f>
        <v>1682.8000000000002</v>
      </c>
    </row>
    <row r="99" spans="1:11">
      <c r="A99" s="1">
        <v>96</v>
      </c>
      <c r="B99" s="2" t="s">
        <v>110</v>
      </c>
      <c r="C99" s="25" t="s">
        <v>111</v>
      </c>
      <c r="D99" s="1" t="s">
        <v>21</v>
      </c>
      <c r="E99" s="2">
        <v>1</v>
      </c>
      <c r="F99" s="3">
        <v>17500</v>
      </c>
      <c r="G99" s="3">
        <f t="shared" si="8"/>
        <v>17500</v>
      </c>
      <c r="H99" s="3">
        <v>0</v>
      </c>
      <c r="I99" s="3">
        <f t="shared" si="6"/>
        <v>17500</v>
      </c>
      <c r="J99" s="4">
        <v>0.2</v>
      </c>
      <c r="K99" s="3">
        <f>+(I99*J99)/12*4</f>
        <v>1166.6666666666667</v>
      </c>
    </row>
    <row r="100" spans="1:11">
      <c r="A100" s="1">
        <v>97</v>
      </c>
      <c r="B100" s="2" t="s">
        <v>112</v>
      </c>
      <c r="C100" s="23" t="s">
        <v>113</v>
      </c>
      <c r="D100" s="1" t="s">
        <v>21</v>
      </c>
      <c r="E100" s="2">
        <v>1</v>
      </c>
      <c r="F100" s="3">
        <v>34200</v>
      </c>
      <c r="G100" s="3">
        <f t="shared" si="8"/>
        <v>34200</v>
      </c>
      <c r="H100" s="3">
        <v>0</v>
      </c>
      <c r="I100" s="3">
        <f t="shared" si="6"/>
        <v>34200</v>
      </c>
      <c r="J100" s="4">
        <v>0.2</v>
      </c>
      <c r="K100" s="3">
        <f>+(I100*J100)/12*3</f>
        <v>1710</v>
      </c>
    </row>
    <row r="101" spans="1:11">
      <c r="A101" s="1">
        <v>92</v>
      </c>
      <c r="B101" s="2" t="s">
        <v>114</v>
      </c>
      <c r="C101" s="23" t="s">
        <v>115</v>
      </c>
      <c r="D101" s="1" t="s">
        <v>21</v>
      </c>
      <c r="E101" s="2">
        <v>3</v>
      </c>
      <c r="F101" s="3">
        <v>21017</v>
      </c>
      <c r="G101" s="3">
        <f>+F101*E101</f>
        <v>63051</v>
      </c>
      <c r="H101" s="3">
        <v>0</v>
      </c>
      <c r="I101" s="3">
        <f>G101-H101</f>
        <v>63051</v>
      </c>
      <c r="J101" s="4">
        <v>0.2</v>
      </c>
      <c r="K101" s="3">
        <f>+(I101*J101)/12*4</f>
        <v>4203.4000000000005</v>
      </c>
    </row>
    <row r="102" spans="1:11">
      <c r="A102" s="1">
        <v>98</v>
      </c>
      <c r="B102" s="2" t="s">
        <v>116</v>
      </c>
      <c r="C102" s="23" t="s">
        <v>117</v>
      </c>
      <c r="D102" s="1" t="s">
        <v>21</v>
      </c>
      <c r="E102" s="2">
        <v>1</v>
      </c>
      <c r="F102" s="3">
        <v>21058</v>
      </c>
      <c r="G102" s="3">
        <f t="shared" si="8"/>
        <v>21058</v>
      </c>
      <c r="H102" s="3">
        <v>0</v>
      </c>
      <c r="I102" s="3">
        <f t="shared" si="6"/>
        <v>21058</v>
      </c>
      <c r="J102" s="4">
        <v>0.2</v>
      </c>
      <c r="K102" s="3">
        <f>+(I102*J102)/12*4</f>
        <v>1403.8666666666668</v>
      </c>
    </row>
    <row r="103" spans="1:11">
      <c r="A103" s="1">
        <v>99</v>
      </c>
      <c r="B103" s="2" t="s">
        <v>118</v>
      </c>
      <c r="C103" s="23" t="s">
        <v>117</v>
      </c>
      <c r="D103" s="1" t="s">
        <v>21</v>
      </c>
      <c r="E103" s="2">
        <v>1</v>
      </c>
      <c r="F103" s="3">
        <v>15042</v>
      </c>
      <c r="G103" s="3">
        <f t="shared" si="8"/>
        <v>15042</v>
      </c>
      <c r="H103" s="3">
        <v>0</v>
      </c>
      <c r="I103" s="3">
        <f t="shared" si="6"/>
        <v>15042</v>
      </c>
      <c r="J103" s="4">
        <v>0.2</v>
      </c>
      <c r="K103" s="3">
        <f>+(I103*J103)/12*3</f>
        <v>752.1</v>
      </c>
    </row>
    <row r="104" spans="1:11">
      <c r="A104" s="1">
        <v>100</v>
      </c>
      <c r="B104" s="2" t="s">
        <v>119</v>
      </c>
      <c r="C104" s="23" t="s">
        <v>117</v>
      </c>
      <c r="D104" s="1" t="s">
        <v>21</v>
      </c>
      <c r="E104" s="2">
        <v>1</v>
      </c>
      <c r="F104" s="3">
        <v>3760</v>
      </c>
      <c r="G104" s="3">
        <f t="shared" si="8"/>
        <v>3760</v>
      </c>
      <c r="H104" s="3">
        <v>0</v>
      </c>
      <c r="I104" s="3">
        <f t="shared" si="6"/>
        <v>3760</v>
      </c>
      <c r="J104" s="4">
        <v>0.2</v>
      </c>
      <c r="K104" s="3">
        <f t="shared" ref="K104:K112" si="9">+(I104*J104)/12*3</f>
        <v>188</v>
      </c>
    </row>
    <row r="105" spans="1:11">
      <c r="A105" s="1">
        <v>101</v>
      </c>
      <c r="B105" s="2" t="s">
        <v>120</v>
      </c>
      <c r="C105" s="23" t="s">
        <v>117</v>
      </c>
      <c r="D105" s="1" t="s">
        <v>21</v>
      </c>
      <c r="E105" s="2">
        <v>10</v>
      </c>
      <c r="F105" s="3">
        <v>3384</v>
      </c>
      <c r="G105" s="3">
        <f t="shared" si="8"/>
        <v>33840</v>
      </c>
      <c r="H105" s="3">
        <v>0</v>
      </c>
      <c r="I105" s="3">
        <f t="shared" si="6"/>
        <v>33840</v>
      </c>
      <c r="J105" s="4">
        <v>0.2</v>
      </c>
      <c r="K105" s="3">
        <f t="shared" si="9"/>
        <v>1692</v>
      </c>
    </row>
    <row r="106" spans="1:11">
      <c r="A106" s="1">
        <v>102</v>
      </c>
      <c r="B106" s="2" t="s">
        <v>121</v>
      </c>
      <c r="C106" s="23" t="s">
        <v>117</v>
      </c>
      <c r="D106" s="1" t="s">
        <v>21</v>
      </c>
      <c r="E106" s="2">
        <v>1</v>
      </c>
      <c r="F106" s="3">
        <v>24067</v>
      </c>
      <c r="G106" s="3">
        <f t="shared" si="8"/>
        <v>24067</v>
      </c>
      <c r="H106" s="3">
        <v>0</v>
      </c>
      <c r="I106" s="3">
        <f t="shared" si="6"/>
        <v>24067</v>
      </c>
      <c r="J106" s="4">
        <v>0.2</v>
      </c>
      <c r="K106" s="3">
        <f t="shared" si="9"/>
        <v>1203.3500000000001</v>
      </c>
    </row>
    <row r="107" spans="1:11">
      <c r="A107" s="1">
        <v>103</v>
      </c>
      <c r="B107" s="2" t="s">
        <v>121</v>
      </c>
      <c r="C107" s="23" t="s">
        <v>117</v>
      </c>
      <c r="D107" s="1" t="s">
        <v>21</v>
      </c>
      <c r="E107" s="2">
        <v>1</v>
      </c>
      <c r="F107" s="3">
        <v>12785</v>
      </c>
      <c r="G107" s="3">
        <f t="shared" si="8"/>
        <v>12785</v>
      </c>
      <c r="H107" s="3">
        <v>0</v>
      </c>
      <c r="I107" s="3">
        <f t="shared" si="6"/>
        <v>12785</v>
      </c>
      <c r="J107" s="4">
        <v>0.2</v>
      </c>
      <c r="K107" s="3">
        <f t="shared" si="9"/>
        <v>639.25</v>
      </c>
    </row>
    <row r="108" spans="1:11">
      <c r="A108" s="1">
        <v>104</v>
      </c>
      <c r="B108" s="2" t="s">
        <v>116</v>
      </c>
      <c r="C108" s="23" t="s">
        <v>117</v>
      </c>
      <c r="D108" s="1" t="s">
        <v>21</v>
      </c>
      <c r="E108" s="2">
        <v>1</v>
      </c>
      <c r="F108" s="3">
        <v>21058</v>
      </c>
      <c r="G108" s="3">
        <f t="shared" si="8"/>
        <v>21058</v>
      </c>
      <c r="H108" s="3">
        <v>0</v>
      </c>
      <c r="I108" s="3">
        <f t="shared" si="6"/>
        <v>21058</v>
      </c>
      <c r="J108" s="4">
        <v>0.2</v>
      </c>
      <c r="K108" s="3">
        <f t="shared" si="9"/>
        <v>1052.9000000000001</v>
      </c>
    </row>
    <row r="109" spans="1:11">
      <c r="A109" s="1">
        <v>105</v>
      </c>
      <c r="B109" s="2" t="s">
        <v>122</v>
      </c>
      <c r="C109" s="23" t="s">
        <v>117</v>
      </c>
      <c r="D109" s="1" t="s">
        <v>21</v>
      </c>
      <c r="E109" s="2">
        <v>1</v>
      </c>
      <c r="F109" s="3">
        <v>15042</v>
      </c>
      <c r="G109" s="3">
        <f t="shared" si="8"/>
        <v>15042</v>
      </c>
      <c r="H109" s="3">
        <v>0</v>
      </c>
      <c r="I109" s="3">
        <f t="shared" si="6"/>
        <v>15042</v>
      </c>
      <c r="J109" s="4">
        <v>0.2</v>
      </c>
      <c r="K109" s="3">
        <f t="shared" si="9"/>
        <v>752.1</v>
      </c>
    </row>
    <row r="110" spans="1:11">
      <c r="A110" s="1">
        <v>106</v>
      </c>
      <c r="B110" s="2" t="s">
        <v>119</v>
      </c>
      <c r="C110" s="23" t="s">
        <v>117</v>
      </c>
      <c r="D110" s="1" t="s">
        <v>21</v>
      </c>
      <c r="E110" s="2">
        <v>1</v>
      </c>
      <c r="F110" s="3">
        <v>3760</v>
      </c>
      <c r="G110" s="3">
        <f t="shared" si="8"/>
        <v>3760</v>
      </c>
      <c r="H110" s="3">
        <v>0</v>
      </c>
      <c r="I110" s="3">
        <f t="shared" si="6"/>
        <v>3760</v>
      </c>
      <c r="J110" s="4">
        <v>0.2</v>
      </c>
      <c r="K110" s="3">
        <f t="shared" si="9"/>
        <v>188</v>
      </c>
    </row>
    <row r="111" spans="1:11">
      <c r="A111" s="1">
        <v>107</v>
      </c>
      <c r="B111" s="2" t="s">
        <v>123</v>
      </c>
      <c r="C111" s="23" t="s">
        <v>117</v>
      </c>
      <c r="D111" s="1" t="s">
        <v>21</v>
      </c>
      <c r="E111" s="2">
        <v>1</v>
      </c>
      <c r="F111" s="3">
        <v>13537</v>
      </c>
      <c r="G111" s="3">
        <f t="shared" si="8"/>
        <v>13537</v>
      </c>
      <c r="H111" s="3">
        <v>0</v>
      </c>
      <c r="I111" s="3">
        <f t="shared" si="6"/>
        <v>13537</v>
      </c>
      <c r="J111" s="4">
        <v>0.2</v>
      </c>
      <c r="K111" s="3">
        <f t="shared" si="9"/>
        <v>676.85</v>
      </c>
    </row>
    <row r="112" spans="1:11">
      <c r="A112" s="1">
        <v>108</v>
      </c>
      <c r="B112" s="2" t="s">
        <v>124</v>
      </c>
      <c r="C112" s="23" t="s">
        <v>117</v>
      </c>
      <c r="D112" s="1" t="s">
        <v>21</v>
      </c>
      <c r="E112" s="2">
        <v>5</v>
      </c>
      <c r="F112" s="3">
        <v>12785.4</v>
      </c>
      <c r="G112" s="3">
        <f t="shared" si="8"/>
        <v>63927</v>
      </c>
      <c r="H112" s="3">
        <v>0</v>
      </c>
      <c r="I112" s="3">
        <f t="shared" si="6"/>
        <v>63927</v>
      </c>
      <c r="J112" s="4">
        <v>0.2</v>
      </c>
      <c r="K112" s="3">
        <f t="shared" si="9"/>
        <v>3196.3500000000004</v>
      </c>
    </row>
    <row r="113" spans="1:11">
      <c r="A113" s="1">
        <v>111</v>
      </c>
      <c r="B113" s="2" t="s">
        <v>123</v>
      </c>
      <c r="C113" s="23" t="s">
        <v>125</v>
      </c>
      <c r="D113" s="1" t="s">
        <v>21</v>
      </c>
      <c r="E113" s="2">
        <v>1</v>
      </c>
      <c r="F113" s="3">
        <v>13537</v>
      </c>
      <c r="G113" s="3">
        <f t="shared" si="8"/>
        <v>13537</v>
      </c>
      <c r="H113" s="3">
        <v>0</v>
      </c>
      <c r="I113" s="3">
        <f t="shared" si="6"/>
        <v>13537</v>
      </c>
      <c r="J113" s="4">
        <v>0.2</v>
      </c>
      <c r="K113" s="3">
        <f>+(I113*J113)/12*2</f>
        <v>451.23333333333335</v>
      </c>
    </row>
    <row r="114" spans="1:11">
      <c r="A114" s="1">
        <v>112</v>
      </c>
      <c r="B114" s="2" t="s">
        <v>126</v>
      </c>
      <c r="C114" s="23" t="s">
        <v>125</v>
      </c>
      <c r="D114" s="1" t="s">
        <v>21</v>
      </c>
      <c r="E114" s="2">
        <v>1</v>
      </c>
      <c r="F114" s="3">
        <v>36100</v>
      </c>
      <c r="G114" s="3">
        <f t="shared" si="8"/>
        <v>36100</v>
      </c>
      <c r="H114" s="3">
        <v>0</v>
      </c>
      <c r="I114" s="3">
        <f t="shared" si="6"/>
        <v>36100</v>
      </c>
      <c r="J114" s="4">
        <v>0.2</v>
      </c>
      <c r="K114" s="3">
        <f>+(I114*J114)/12*2</f>
        <v>1203.3333333333333</v>
      </c>
    </row>
    <row r="115" spans="1:11">
      <c r="A115" s="1">
        <v>113</v>
      </c>
      <c r="B115" s="2" t="s">
        <v>127</v>
      </c>
      <c r="C115" s="23" t="s">
        <v>125</v>
      </c>
      <c r="D115" s="1" t="s">
        <v>21</v>
      </c>
      <c r="E115" s="2">
        <v>2</v>
      </c>
      <c r="F115" s="3">
        <v>12785</v>
      </c>
      <c r="G115" s="3">
        <f t="shared" si="8"/>
        <v>25570</v>
      </c>
      <c r="H115" s="3">
        <v>0</v>
      </c>
      <c r="I115" s="3">
        <f t="shared" si="6"/>
        <v>25570</v>
      </c>
      <c r="J115" s="4">
        <v>0.2</v>
      </c>
      <c r="K115" s="3">
        <f>+(I115*J115)/12*2</f>
        <v>852.33333333333337</v>
      </c>
    </row>
    <row r="116" spans="1:11">
      <c r="A116" s="1">
        <v>114</v>
      </c>
      <c r="B116" s="2" t="s">
        <v>128</v>
      </c>
      <c r="C116" s="23" t="s">
        <v>125</v>
      </c>
      <c r="D116" s="1" t="s">
        <v>21</v>
      </c>
      <c r="E116" s="2">
        <v>2</v>
      </c>
      <c r="F116" s="3">
        <v>36100</v>
      </c>
      <c r="G116" s="3">
        <f t="shared" si="8"/>
        <v>72200</v>
      </c>
      <c r="H116" s="3">
        <v>0</v>
      </c>
      <c r="I116" s="3">
        <f t="shared" si="6"/>
        <v>72200</v>
      </c>
      <c r="J116" s="4">
        <v>0.2</v>
      </c>
      <c r="K116" s="3">
        <f>+(I116*J116)/12*2</f>
        <v>2406.6666666666665</v>
      </c>
    </row>
    <row r="117" spans="1:11">
      <c r="A117" s="1">
        <v>109</v>
      </c>
      <c r="B117" s="2" t="s">
        <v>27</v>
      </c>
      <c r="C117" s="25" t="s">
        <v>129</v>
      </c>
      <c r="D117" s="1" t="s">
        <v>21</v>
      </c>
      <c r="E117" s="2">
        <v>1</v>
      </c>
      <c r="F117" s="3">
        <f>10753*141.12</f>
        <v>1517463.36</v>
      </c>
      <c r="G117" s="3">
        <f>+F117*E117</f>
        <v>1517463.36</v>
      </c>
      <c r="H117" s="3">
        <v>0</v>
      </c>
      <c r="I117" s="3">
        <f>G117-H117</f>
        <v>1517463.36</v>
      </c>
      <c r="J117" s="4">
        <v>0.2</v>
      </c>
      <c r="K117" s="3">
        <f>+(I117*J117)/12*3</f>
        <v>75873.168000000005</v>
      </c>
    </row>
    <row r="118" spans="1:11">
      <c r="A118" s="1">
        <v>115</v>
      </c>
      <c r="B118" s="2" t="s">
        <v>130</v>
      </c>
      <c r="C118" s="23" t="s">
        <v>131</v>
      </c>
      <c r="D118" s="1" t="s">
        <v>21</v>
      </c>
      <c r="E118" s="2">
        <v>1</v>
      </c>
      <c r="F118" s="3">
        <v>79000</v>
      </c>
      <c r="G118" s="3">
        <f t="shared" si="8"/>
        <v>79000</v>
      </c>
      <c r="H118" s="3">
        <v>0</v>
      </c>
      <c r="I118" s="3">
        <f t="shared" si="6"/>
        <v>79000</v>
      </c>
      <c r="J118" s="4">
        <v>0.2</v>
      </c>
      <c r="K118" s="3">
        <f>+(I118*J118)/12*1</f>
        <v>1316.6666666666667</v>
      </c>
    </row>
    <row r="119" spans="1:11">
      <c r="A119" s="1">
        <v>116</v>
      </c>
      <c r="B119" s="2" t="s">
        <v>132</v>
      </c>
      <c r="C119" s="23" t="s">
        <v>133</v>
      </c>
      <c r="D119" s="1" t="s">
        <v>21</v>
      </c>
      <c r="E119" s="2">
        <v>1</v>
      </c>
      <c r="F119" s="3">
        <v>1406795</v>
      </c>
      <c r="G119" s="3">
        <f t="shared" si="8"/>
        <v>1406795</v>
      </c>
      <c r="H119" s="3">
        <v>0</v>
      </c>
      <c r="I119" s="3">
        <f t="shared" si="6"/>
        <v>1406795</v>
      </c>
      <c r="J119" s="4">
        <v>0.2</v>
      </c>
      <c r="K119" s="3">
        <f>+(I119*J119)/12*1</f>
        <v>23446.583333333332</v>
      </c>
    </row>
    <row r="120" spans="1:11">
      <c r="A120" s="1">
        <v>117</v>
      </c>
      <c r="B120" s="2" t="s">
        <v>134</v>
      </c>
      <c r="C120" s="23" t="s">
        <v>133</v>
      </c>
      <c r="D120" s="1" t="s">
        <v>21</v>
      </c>
      <c r="E120" s="2">
        <v>1</v>
      </c>
      <c r="F120" s="3">
        <v>700000</v>
      </c>
      <c r="G120" s="3">
        <f t="shared" si="8"/>
        <v>700000</v>
      </c>
      <c r="H120" s="3">
        <v>0</v>
      </c>
      <c r="I120" s="3">
        <f t="shared" si="6"/>
        <v>700000</v>
      </c>
      <c r="J120" s="4">
        <v>0.2</v>
      </c>
      <c r="K120" s="3">
        <f>+(I120*J120)/12*1</f>
        <v>11666.666666666666</v>
      </c>
    </row>
    <row r="121" spans="1:11">
      <c r="A121" s="1">
        <v>118</v>
      </c>
      <c r="B121" s="2" t="s">
        <v>135</v>
      </c>
      <c r="C121" s="23" t="s">
        <v>136</v>
      </c>
      <c r="D121" s="1" t="s">
        <v>21</v>
      </c>
      <c r="E121" s="2">
        <v>1</v>
      </c>
      <c r="F121" s="3">
        <v>561960</v>
      </c>
      <c r="G121" s="3">
        <f t="shared" si="8"/>
        <v>561960</v>
      </c>
      <c r="H121" s="3">
        <v>0</v>
      </c>
      <c r="I121" s="3">
        <f t="shared" si="6"/>
        <v>561960</v>
      </c>
      <c r="J121" s="4">
        <v>0.2</v>
      </c>
      <c r="K121" s="3">
        <f>+(I121*J121)/12*1</f>
        <v>9366</v>
      </c>
    </row>
    <row r="122" spans="1:11">
      <c r="A122" s="1">
        <v>119</v>
      </c>
      <c r="B122" s="2" t="s">
        <v>137</v>
      </c>
      <c r="C122" s="23" t="s">
        <v>136</v>
      </c>
      <c r="D122" s="1" t="s">
        <v>21</v>
      </c>
      <c r="E122" s="2">
        <v>1</v>
      </c>
      <c r="F122" s="3">
        <v>561960</v>
      </c>
      <c r="G122" s="3">
        <f t="shared" si="8"/>
        <v>561960</v>
      </c>
      <c r="H122" s="3">
        <v>0</v>
      </c>
      <c r="I122" s="3">
        <f t="shared" si="6"/>
        <v>561960</v>
      </c>
      <c r="J122" s="4">
        <v>0.2</v>
      </c>
      <c r="K122" s="3">
        <f>+(I122*J122)/12*1</f>
        <v>9366</v>
      </c>
    </row>
    <row r="123" spans="1:11">
      <c r="A123" s="1">
        <v>120</v>
      </c>
      <c r="B123" s="2" t="s">
        <v>138</v>
      </c>
      <c r="C123" s="23" t="s">
        <v>139</v>
      </c>
      <c r="D123" s="1" t="s">
        <v>21</v>
      </c>
      <c r="E123" s="2">
        <v>1</v>
      </c>
      <c r="F123" s="3">
        <f>5833.33*137</f>
        <v>799166.21</v>
      </c>
      <c r="G123" s="3">
        <f t="shared" si="8"/>
        <v>799166.21</v>
      </c>
      <c r="H123" s="3">
        <v>0</v>
      </c>
      <c r="I123" s="3">
        <f t="shared" si="6"/>
        <v>799166.21</v>
      </c>
      <c r="J123" s="4">
        <v>0.2</v>
      </c>
      <c r="K123" s="3">
        <v>0</v>
      </c>
    </row>
    <row r="124" spans="1:11">
      <c r="A124" s="1">
        <v>121</v>
      </c>
      <c r="B124" s="2" t="s">
        <v>101</v>
      </c>
      <c r="C124" s="23" t="s">
        <v>140</v>
      </c>
      <c r="D124" s="1" t="s">
        <v>21</v>
      </c>
      <c r="E124" s="2">
        <v>1</v>
      </c>
      <c r="F124" s="3">
        <f>9450*140.9</f>
        <v>1331505</v>
      </c>
      <c r="G124" s="3">
        <f t="shared" si="8"/>
        <v>1331505</v>
      </c>
      <c r="H124" s="3">
        <v>0</v>
      </c>
      <c r="I124" s="3">
        <f t="shared" si="6"/>
        <v>1331505</v>
      </c>
      <c r="J124" s="4">
        <v>0.2</v>
      </c>
      <c r="K124" s="3">
        <v>0</v>
      </c>
    </row>
    <row r="125" spans="1:11">
      <c r="A125" s="1">
        <v>122</v>
      </c>
      <c r="B125" s="2" t="s">
        <v>141</v>
      </c>
      <c r="C125" s="23" t="s">
        <v>142</v>
      </c>
      <c r="D125" s="1" t="s">
        <v>21</v>
      </c>
      <c r="E125" s="2">
        <v>1</v>
      </c>
      <c r="F125" s="3">
        <v>99050</v>
      </c>
      <c r="G125" s="3">
        <f t="shared" si="8"/>
        <v>99050</v>
      </c>
      <c r="H125" s="3">
        <v>0</v>
      </c>
      <c r="I125" s="3">
        <f t="shared" si="6"/>
        <v>99050</v>
      </c>
      <c r="J125" s="4">
        <v>0.2</v>
      </c>
      <c r="K125" s="3">
        <v>0</v>
      </c>
    </row>
    <row r="126" spans="1:11">
      <c r="A126" s="1">
        <v>123</v>
      </c>
      <c r="B126" s="2" t="s">
        <v>141</v>
      </c>
      <c r="C126" s="23" t="s">
        <v>142</v>
      </c>
      <c r="D126" s="1" t="s">
        <v>21</v>
      </c>
      <c r="E126" s="2">
        <v>1</v>
      </c>
      <c r="F126" s="3">
        <v>74550</v>
      </c>
      <c r="G126" s="3">
        <f t="shared" si="8"/>
        <v>74550</v>
      </c>
      <c r="H126" s="3">
        <v>0</v>
      </c>
      <c r="I126" s="3">
        <f t="shared" si="6"/>
        <v>74550</v>
      </c>
      <c r="J126" s="4">
        <v>0.2</v>
      </c>
      <c r="K126" s="3">
        <v>0</v>
      </c>
    </row>
    <row r="127" spans="1:11">
      <c r="A127" s="1">
        <v>124</v>
      </c>
      <c r="B127" s="2" t="s">
        <v>141</v>
      </c>
      <c r="C127" s="23" t="s">
        <v>142</v>
      </c>
      <c r="D127" s="1" t="s">
        <v>21</v>
      </c>
      <c r="E127" s="2">
        <v>2</v>
      </c>
      <c r="F127" s="3">
        <v>62888.3</v>
      </c>
      <c r="G127" s="3">
        <f t="shared" si="8"/>
        <v>125776.6</v>
      </c>
      <c r="H127" s="3">
        <v>0</v>
      </c>
      <c r="I127" s="3">
        <f t="shared" si="6"/>
        <v>125776.6</v>
      </c>
      <c r="J127" s="4">
        <v>0.2</v>
      </c>
      <c r="K127" s="3">
        <v>0</v>
      </c>
    </row>
    <row r="128" spans="1:11">
      <c r="A128" s="1">
        <v>125</v>
      </c>
      <c r="B128" s="2" t="s">
        <v>143</v>
      </c>
      <c r="C128" s="23" t="s">
        <v>142</v>
      </c>
      <c r="D128" s="1" t="s">
        <v>21</v>
      </c>
      <c r="E128" s="2">
        <v>1</v>
      </c>
      <c r="F128" s="3">
        <v>255383</v>
      </c>
      <c r="G128" s="3">
        <f t="shared" si="8"/>
        <v>255383</v>
      </c>
      <c r="H128" s="3">
        <v>0</v>
      </c>
      <c r="I128" s="3">
        <f t="shared" si="6"/>
        <v>255383</v>
      </c>
      <c r="J128" s="4">
        <v>0.2</v>
      </c>
      <c r="K128" s="3">
        <v>0</v>
      </c>
    </row>
    <row r="129" spans="1:11">
      <c r="A129" s="1">
        <v>126</v>
      </c>
      <c r="B129" s="2" t="s">
        <v>144</v>
      </c>
      <c r="C129" s="23" t="s">
        <v>145</v>
      </c>
      <c r="D129" s="1" t="s">
        <v>21</v>
      </c>
      <c r="E129" s="2">
        <v>1</v>
      </c>
      <c r="F129" s="3">
        <v>59508</v>
      </c>
      <c r="G129" s="3">
        <f t="shared" si="8"/>
        <v>59508</v>
      </c>
      <c r="H129" s="3">
        <v>0</v>
      </c>
      <c r="I129" s="3">
        <f t="shared" si="6"/>
        <v>59508</v>
      </c>
      <c r="J129" s="4">
        <v>0.2</v>
      </c>
      <c r="K129" s="3">
        <v>0</v>
      </c>
    </row>
    <row r="130" spans="1:11">
      <c r="A130" s="1">
        <v>127</v>
      </c>
      <c r="B130" s="2" t="s">
        <v>146</v>
      </c>
      <c r="C130" s="13" t="s">
        <v>147</v>
      </c>
      <c r="D130" s="1" t="s">
        <v>21</v>
      </c>
      <c r="E130" s="2">
        <v>1</v>
      </c>
      <c r="F130" s="3">
        <v>248084</v>
      </c>
      <c r="G130" s="3">
        <f t="shared" si="8"/>
        <v>248084</v>
      </c>
      <c r="H130" s="3">
        <v>0</v>
      </c>
      <c r="I130" s="3">
        <f t="shared" si="6"/>
        <v>248084</v>
      </c>
      <c r="J130" s="4">
        <v>0.2</v>
      </c>
      <c r="K130" s="3">
        <v>0</v>
      </c>
    </row>
    <row r="131" spans="1:11">
      <c r="A131" s="1">
        <v>110</v>
      </c>
      <c r="B131" s="2" t="s">
        <v>99</v>
      </c>
      <c r="C131" s="25" t="s">
        <v>129</v>
      </c>
      <c r="D131" s="1" t="s">
        <v>21</v>
      </c>
      <c r="E131" s="2">
        <v>1</v>
      </c>
      <c r="F131" s="3">
        <f>1820*141.12</f>
        <v>256838.39999999999</v>
      </c>
      <c r="G131" s="3">
        <f>+F131*E131</f>
        <v>256838.39999999999</v>
      </c>
      <c r="H131" s="3">
        <v>0</v>
      </c>
      <c r="I131" s="3">
        <f>G131-H131</f>
        <v>256838.39999999999</v>
      </c>
      <c r="J131" s="4">
        <v>0.2</v>
      </c>
      <c r="K131" s="3">
        <f>+(I131*J131)/12*3</f>
        <v>12841.920000000002</v>
      </c>
    </row>
    <row r="132" spans="1:11">
      <c r="A132" s="1">
        <v>128</v>
      </c>
      <c r="B132" s="2" t="s">
        <v>148</v>
      </c>
      <c r="C132" s="13" t="s">
        <v>149</v>
      </c>
      <c r="D132" s="1" t="s">
        <v>21</v>
      </c>
      <c r="E132" s="2">
        <v>2</v>
      </c>
      <c r="F132" s="3">
        <v>321849</v>
      </c>
      <c r="G132" s="3">
        <f t="shared" si="8"/>
        <v>643698</v>
      </c>
      <c r="H132" s="3">
        <v>0</v>
      </c>
      <c r="I132" s="3">
        <f t="shared" si="6"/>
        <v>643698</v>
      </c>
      <c r="J132" s="4">
        <v>0.2</v>
      </c>
      <c r="K132" s="3">
        <f>+(I132*J132)/12*0</f>
        <v>0</v>
      </c>
    </row>
    <row r="133" spans="1:11">
      <c r="A133" s="1">
        <v>129</v>
      </c>
      <c r="B133" s="14" t="s">
        <v>150</v>
      </c>
      <c r="C133" s="15" t="s">
        <v>151</v>
      </c>
      <c r="D133" s="1" t="s">
        <v>21</v>
      </c>
      <c r="E133" s="2">
        <v>2</v>
      </c>
      <c r="F133" s="3">
        <v>24503</v>
      </c>
      <c r="G133" s="3">
        <f t="shared" si="8"/>
        <v>49006</v>
      </c>
      <c r="H133" s="3">
        <v>0</v>
      </c>
      <c r="I133" s="3">
        <f t="shared" si="6"/>
        <v>49006</v>
      </c>
      <c r="J133" s="4">
        <v>0.2</v>
      </c>
      <c r="K133" s="3">
        <f>+(I133*J133)/12*10</f>
        <v>8167.6666666666679</v>
      </c>
    </row>
    <row r="134" spans="1:11">
      <c r="A134" s="1">
        <v>130</v>
      </c>
      <c r="B134" s="14" t="s">
        <v>150</v>
      </c>
      <c r="C134" s="15" t="s">
        <v>152</v>
      </c>
      <c r="D134" s="1" t="s">
        <v>21</v>
      </c>
      <c r="E134" s="2">
        <v>1</v>
      </c>
      <c r="F134" s="3">
        <v>69651</v>
      </c>
      <c r="G134" s="3">
        <f t="shared" si="8"/>
        <v>69651</v>
      </c>
      <c r="H134" s="3">
        <v>0</v>
      </c>
      <c r="I134" s="3">
        <f t="shared" si="6"/>
        <v>69651</v>
      </c>
      <c r="J134" s="4">
        <v>0.2</v>
      </c>
      <c r="K134" s="3">
        <f>+(I134*J134)/12*6</f>
        <v>6965.1</v>
      </c>
    </row>
    <row r="135" spans="1:11">
      <c r="A135" s="1">
        <v>131</v>
      </c>
      <c r="B135" s="14" t="s">
        <v>153</v>
      </c>
      <c r="C135" s="15" t="s">
        <v>154</v>
      </c>
      <c r="D135" s="1" t="s">
        <v>21</v>
      </c>
      <c r="E135" s="2">
        <v>1</v>
      </c>
      <c r="F135" s="3">
        <v>4165076</v>
      </c>
      <c r="G135" s="3">
        <f t="shared" si="8"/>
        <v>4165076</v>
      </c>
      <c r="H135" s="3">
        <v>0</v>
      </c>
      <c r="I135" s="3">
        <f t="shared" si="6"/>
        <v>4165076</v>
      </c>
      <c r="J135" s="4">
        <v>0.2</v>
      </c>
      <c r="K135" s="3">
        <f>+(I135*J135)/12*4</f>
        <v>277671.73333333334</v>
      </c>
    </row>
    <row r="136" spans="1:11">
      <c r="A136" s="1">
        <v>132</v>
      </c>
      <c r="B136" s="14" t="s">
        <v>153</v>
      </c>
      <c r="C136" s="15" t="s">
        <v>155</v>
      </c>
      <c r="D136" s="1" t="s">
        <v>21</v>
      </c>
      <c r="E136" s="2">
        <v>1</v>
      </c>
      <c r="F136" s="3">
        <v>3103724</v>
      </c>
      <c r="G136" s="3">
        <f t="shared" si="8"/>
        <v>3103724</v>
      </c>
      <c r="H136" s="3">
        <v>0</v>
      </c>
      <c r="I136" s="3">
        <f t="shared" ref="I136:I144" si="10">G136-H136</f>
        <v>3103724</v>
      </c>
      <c r="J136" s="4">
        <v>0.2</v>
      </c>
      <c r="K136" s="3">
        <f>+(I136*J136)/12*3</f>
        <v>155186.20000000001</v>
      </c>
    </row>
    <row r="137" spans="1:11">
      <c r="A137" s="1">
        <v>133</v>
      </c>
      <c r="B137" s="14" t="s">
        <v>156</v>
      </c>
      <c r="C137" s="15" t="s">
        <v>157</v>
      </c>
      <c r="D137" s="1" t="s">
        <v>21</v>
      </c>
      <c r="E137" s="2">
        <v>1</v>
      </c>
      <c r="F137" s="3">
        <v>26019370</v>
      </c>
      <c r="G137" s="3">
        <f t="shared" si="8"/>
        <v>26019370</v>
      </c>
      <c r="H137" s="3">
        <v>0</v>
      </c>
      <c r="I137" s="3">
        <f t="shared" si="10"/>
        <v>26019370</v>
      </c>
      <c r="J137" s="4">
        <v>0.2</v>
      </c>
      <c r="K137" s="3">
        <f>+(I137*J137)/12*2</f>
        <v>867312.33333333337</v>
      </c>
    </row>
    <row r="138" spans="1:11">
      <c r="A138" s="1">
        <v>134</v>
      </c>
      <c r="B138" s="14" t="s">
        <v>158</v>
      </c>
      <c r="C138" s="15" t="s">
        <v>159</v>
      </c>
      <c r="D138" s="1" t="s">
        <v>21</v>
      </c>
      <c r="E138" s="2">
        <v>1</v>
      </c>
      <c r="F138" s="3">
        <v>445719</v>
      </c>
      <c r="G138" s="3">
        <f t="shared" si="8"/>
        <v>445719</v>
      </c>
      <c r="H138" s="3">
        <v>0</v>
      </c>
      <c r="I138" s="3">
        <f t="shared" si="10"/>
        <v>445719</v>
      </c>
      <c r="J138" s="4">
        <v>0.2</v>
      </c>
      <c r="K138" s="3">
        <f>+(I138*J138)/12*2</f>
        <v>14857.300000000001</v>
      </c>
    </row>
    <row r="139" spans="1:11">
      <c r="A139" s="1">
        <v>135</v>
      </c>
      <c r="B139" s="14" t="s">
        <v>160</v>
      </c>
      <c r="C139" s="15" t="s">
        <v>161</v>
      </c>
      <c r="D139" s="1" t="s">
        <v>21</v>
      </c>
      <c r="E139" s="2">
        <v>1</v>
      </c>
      <c r="F139" s="3">
        <v>8091474</v>
      </c>
      <c r="G139" s="3">
        <f t="shared" si="8"/>
        <v>8091474</v>
      </c>
      <c r="H139" s="3">
        <v>0</v>
      </c>
      <c r="I139" s="3">
        <f t="shared" si="10"/>
        <v>8091474</v>
      </c>
      <c r="J139" s="4">
        <v>0.2</v>
      </c>
      <c r="K139" s="3">
        <f>+(I139*J139)/12*2</f>
        <v>269715.8</v>
      </c>
    </row>
    <row r="140" spans="1:11">
      <c r="A140" s="1">
        <v>136</v>
      </c>
      <c r="B140" s="14" t="s">
        <v>162</v>
      </c>
      <c r="C140" s="15" t="s">
        <v>163</v>
      </c>
      <c r="D140" s="1" t="s">
        <v>21</v>
      </c>
      <c r="E140" s="2">
        <v>1</v>
      </c>
      <c r="F140" s="3">
        <v>617505</v>
      </c>
      <c r="G140" s="3">
        <f t="shared" si="8"/>
        <v>617505</v>
      </c>
      <c r="H140" s="3">
        <v>0</v>
      </c>
      <c r="I140" s="3">
        <f t="shared" si="10"/>
        <v>617505</v>
      </c>
      <c r="J140" s="4">
        <v>0.2</v>
      </c>
      <c r="K140" s="3">
        <f>+(I140*J140)/12*1</f>
        <v>10291.75</v>
      </c>
    </row>
    <row r="141" spans="1:11">
      <c r="A141" s="1">
        <v>137</v>
      </c>
      <c r="B141" s="14" t="s">
        <v>162</v>
      </c>
      <c r="C141" s="15" t="s">
        <v>163</v>
      </c>
      <c r="D141" s="1" t="s">
        <v>21</v>
      </c>
      <c r="E141" s="2">
        <v>1</v>
      </c>
      <c r="F141" s="3">
        <v>279765</v>
      </c>
      <c r="G141" s="3">
        <f t="shared" si="8"/>
        <v>279765</v>
      </c>
      <c r="H141" s="3">
        <v>0</v>
      </c>
      <c r="I141" s="3">
        <f t="shared" si="10"/>
        <v>279765</v>
      </c>
      <c r="J141" s="4">
        <v>0.2</v>
      </c>
      <c r="K141" s="3">
        <f>+(I141*J141)/12*1</f>
        <v>4662.75</v>
      </c>
    </row>
    <row r="142" spans="1:11">
      <c r="A142" s="1">
        <v>138</v>
      </c>
      <c r="B142" s="14" t="s">
        <v>164</v>
      </c>
      <c r="C142" s="15" t="s">
        <v>165</v>
      </c>
      <c r="D142" s="1" t="s">
        <v>21</v>
      </c>
      <c r="E142" s="2">
        <v>1</v>
      </c>
      <c r="F142" s="3">
        <v>755522</v>
      </c>
      <c r="G142" s="3">
        <f t="shared" si="8"/>
        <v>755522</v>
      </c>
      <c r="H142" s="3">
        <v>0</v>
      </c>
      <c r="I142" s="3">
        <f t="shared" si="10"/>
        <v>755522</v>
      </c>
      <c r="J142" s="4">
        <v>0.2</v>
      </c>
      <c r="K142" s="3">
        <f>+(I142*J142)/12*1</f>
        <v>12592.033333333333</v>
      </c>
    </row>
    <row r="143" spans="1:11">
      <c r="A143" s="1">
        <v>139</v>
      </c>
      <c r="B143" s="14" t="s">
        <v>166</v>
      </c>
      <c r="C143" s="15" t="s">
        <v>165</v>
      </c>
      <c r="D143" s="1" t="s">
        <v>21</v>
      </c>
      <c r="E143" s="2">
        <v>3</v>
      </c>
      <c r="F143" s="3">
        <v>188762</v>
      </c>
      <c r="G143" s="3">
        <f t="shared" si="8"/>
        <v>566286</v>
      </c>
      <c r="H143" s="3">
        <v>0</v>
      </c>
      <c r="I143" s="3">
        <f t="shared" si="10"/>
        <v>566286</v>
      </c>
      <c r="J143" s="4">
        <v>0.2</v>
      </c>
      <c r="K143" s="3">
        <f>+(I143*J143)/12*1</f>
        <v>9438.1</v>
      </c>
    </row>
    <row r="144" spans="1:11" ht="14.25" thickBot="1">
      <c r="A144" s="1">
        <v>140</v>
      </c>
      <c r="B144" s="1" t="s">
        <v>167</v>
      </c>
      <c r="C144" s="2"/>
      <c r="D144" s="1"/>
      <c r="E144" s="1"/>
      <c r="F144" s="3"/>
      <c r="G144" s="3">
        <f>+[1]Foglio1!Q225</f>
        <v>659729.5</v>
      </c>
      <c r="H144" s="3"/>
      <c r="I144" s="3">
        <f t="shared" si="10"/>
        <v>659729.5</v>
      </c>
      <c r="J144" s="4">
        <v>0.05</v>
      </c>
      <c r="K144" s="3">
        <f>+(I144*J144)/12*1</f>
        <v>2748.8729166666667</v>
      </c>
    </row>
    <row r="145" spans="1:11" ht="15.75" thickBot="1">
      <c r="A145" s="30"/>
      <c r="B145" s="31"/>
      <c r="C145" s="32"/>
      <c r="D145" s="31"/>
      <c r="E145" s="31"/>
      <c r="F145" s="33"/>
      <c r="G145" s="33">
        <f>SUM(G6:G144)</f>
        <v>126989270.19013332</v>
      </c>
      <c r="H145" s="34">
        <f>SUM(H6:H144)</f>
        <v>20161768.75</v>
      </c>
      <c r="I145" s="33">
        <f>SUM(I6:I144)</f>
        <v>106827501.44013333</v>
      </c>
      <c r="J145" s="33"/>
      <c r="K145" s="33">
        <f>SUM(K6:K144)</f>
        <v>9497974.1541099995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M27"/>
  <sheetViews>
    <sheetView topLeftCell="A16" workbookViewId="0">
      <selection activeCell="K11" sqref="K11"/>
    </sheetView>
  </sheetViews>
  <sheetFormatPr defaultRowHeight="16.5"/>
  <cols>
    <col min="1" max="1" width="8.85546875" style="150" customWidth="1"/>
    <col min="2" max="2" width="41.85546875" style="150" customWidth="1"/>
    <col min="3" max="3" width="14.28515625" style="150" customWidth="1"/>
    <col min="4" max="4" width="12.28515625" style="150" customWidth="1"/>
    <col min="5" max="256" width="14.28515625" style="150" customWidth="1"/>
    <col min="257" max="257" width="8.85546875" style="150" customWidth="1"/>
    <col min="258" max="258" width="41.85546875" style="150" customWidth="1"/>
    <col min="259" max="259" width="14.28515625" style="150" customWidth="1"/>
    <col min="260" max="260" width="12.28515625" style="150" customWidth="1"/>
    <col min="261" max="512" width="14.28515625" style="150" customWidth="1"/>
    <col min="513" max="513" width="8.85546875" style="150" customWidth="1"/>
    <col min="514" max="514" width="41.85546875" style="150" customWidth="1"/>
    <col min="515" max="515" width="14.28515625" style="150" customWidth="1"/>
    <col min="516" max="516" width="12.28515625" style="150" customWidth="1"/>
    <col min="517" max="768" width="14.28515625" style="150" customWidth="1"/>
    <col min="769" max="769" width="8.85546875" style="150" customWidth="1"/>
    <col min="770" max="770" width="41.85546875" style="150" customWidth="1"/>
    <col min="771" max="771" width="14.28515625" style="150" customWidth="1"/>
    <col min="772" max="772" width="12.28515625" style="150" customWidth="1"/>
    <col min="773" max="1024" width="14.28515625" style="150" customWidth="1"/>
    <col min="1025" max="1025" width="8.85546875" style="150" customWidth="1"/>
    <col min="1026" max="1026" width="41.85546875" style="150" customWidth="1"/>
    <col min="1027" max="1027" width="14.28515625" style="150" customWidth="1"/>
    <col min="1028" max="1028" width="12.28515625" style="150" customWidth="1"/>
    <col min="1029" max="1280" width="14.28515625" style="150" customWidth="1"/>
    <col min="1281" max="1281" width="8.85546875" style="150" customWidth="1"/>
    <col min="1282" max="1282" width="41.85546875" style="150" customWidth="1"/>
    <col min="1283" max="1283" width="14.28515625" style="150" customWidth="1"/>
    <col min="1284" max="1284" width="12.28515625" style="150" customWidth="1"/>
    <col min="1285" max="1536" width="14.28515625" style="150" customWidth="1"/>
    <col min="1537" max="1537" width="8.85546875" style="150" customWidth="1"/>
    <col min="1538" max="1538" width="41.85546875" style="150" customWidth="1"/>
    <col min="1539" max="1539" width="14.28515625" style="150" customWidth="1"/>
    <col min="1540" max="1540" width="12.28515625" style="150" customWidth="1"/>
    <col min="1541" max="1792" width="14.28515625" style="150" customWidth="1"/>
    <col min="1793" max="1793" width="8.85546875" style="150" customWidth="1"/>
    <col min="1794" max="1794" width="41.85546875" style="150" customWidth="1"/>
    <col min="1795" max="1795" width="14.28515625" style="150" customWidth="1"/>
    <col min="1796" max="1796" width="12.28515625" style="150" customWidth="1"/>
    <col min="1797" max="2048" width="14.28515625" style="150" customWidth="1"/>
    <col min="2049" max="2049" width="8.85546875" style="150" customWidth="1"/>
    <col min="2050" max="2050" width="41.85546875" style="150" customWidth="1"/>
    <col min="2051" max="2051" width="14.28515625" style="150" customWidth="1"/>
    <col min="2052" max="2052" width="12.28515625" style="150" customWidth="1"/>
    <col min="2053" max="2304" width="14.28515625" style="150" customWidth="1"/>
    <col min="2305" max="2305" width="8.85546875" style="150" customWidth="1"/>
    <col min="2306" max="2306" width="41.85546875" style="150" customWidth="1"/>
    <col min="2307" max="2307" width="14.28515625" style="150" customWidth="1"/>
    <col min="2308" max="2308" width="12.28515625" style="150" customWidth="1"/>
    <col min="2309" max="2560" width="14.28515625" style="150" customWidth="1"/>
    <col min="2561" max="2561" width="8.85546875" style="150" customWidth="1"/>
    <col min="2562" max="2562" width="41.85546875" style="150" customWidth="1"/>
    <col min="2563" max="2563" width="14.28515625" style="150" customWidth="1"/>
    <col min="2564" max="2564" width="12.28515625" style="150" customWidth="1"/>
    <col min="2565" max="2816" width="14.28515625" style="150" customWidth="1"/>
    <col min="2817" max="2817" width="8.85546875" style="150" customWidth="1"/>
    <col min="2818" max="2818" width="41.85546875" style="150" customWidth="1"/>
    <col min="2819" max="2819" width="14.28515625" style="150" customWidth="1"/>
    <col min="2820" max="2820" width="12.28515625" style="150" customWidth="1"/>
    <col min="2821" max="3072" width="14.28515625" style="150" customWidth="1"/>
    <col min="3073" max="3073" width="8.85546875" style="150" customWidth="1"/>
    <col min="3074" max="3074" width="41.85546875" style="150" customWidth="1"/>
    <col min="3075" max="3075" width="14.28515625" style="150" customWidth="1"/>
    <col min="3076" max="3076" width="12.28515625" style="150" customWidth="1"/>
    <col min="3077" max="3328" width="14.28515625" style="150" customWidth="1"/>
    <col min="3329" max="3329" width="8.85546875" style="150" customWidth="1"/>
    <col min="3330" max="3330" width="41.85546875" style="150" customWidth="1"/>
    <col min="3331" max="3331" width="14.28515625" style="150" customWidth="1"/>
    <col min="3332" max="3332" width="12.28515625" style="150" customWidth="1"/>
    <col min="3333" max="3584" width="14.28515625" style="150" customWidth="1"/>
    <col min="3585" max="3585" width="8.85546875" style="150" customWidth="1"/>
    <col min="3586" max="3586" width="41.85546875" style="150" customWidth="1"/>
    <col min="3587" max="3587" width="14.28515625" style="150" customWidth="1"/>
    <col min="3588" max="3588" width="12.28515625" style="150" customWidth="1"/>
    <col min="3589" max="3840" width="14.28515625" style="150" customWidth="1"/>
    <col min="3841" max="3841" width="8.85546875" style="150" customWidth="1"/>
    <col min="3842" max="3842" width="41.85546875" style="150" customWidth="1"/>
    <col min="3843" max="3843" width="14.28515625" style="150" customWidth="1"/>
    <col min="3844" max="3844" width="12.28515625" style="150" customWidth="1"/>
    <col min="3845" max="4096" width="14.28515625" style="150" customWidth="1"/>
    <col min="4097" max="4097" width="8.85546875" style="150" customWidth="1"/>
    <col min="4098" max="4098" width="41.85546875" style="150" customWidth="1"/>
    <col min="4099" max="4099" width="14.28515625" style="150" customWidth="1"/>
    <col min="4100" max="4100" width="12.28515625" style="150" customWidth="1"/>
    <col min="4101" max="4352" width="14.28515625" style="150" customWidth="1"/>
    <col min="4353" max="4353" width="8.85546875" style="150" customWidth="1"/>
    <col min="4354" max="4354" width="41.85546875" style="150" customWidth="1"/>
    <col min="4355" max="4355" width="14.28515625" style="150" customWidth="1"/>
    <col min="4356" max="4356" width="12.28515625" style="150" customWidth="1"/>
    <col min="4357" max="4608" width="14.28515625" style="150" customWidth="1"/>
    <col min="4609" max="4609" width="8.85546875" style="150" customWidth="1"/>
    <col min="4610" max="4610" width="41.85546875" style="150" customWidth="1"/>
    <col min="4611" max="4611" width="14.28515625" style="150" customWidth="1"/>
    <col min="4612" max="4612" width="12.28515625" style="150" customWidth="1"/>
    <col min="4613" max="4864" width="14.28515625" style="150" customWidth="1"/>
    <col min="4865" max="4865" width="8.85546875" style="150" customWidth="1"/>
    <col min="4866" max="4866" width="41.85546875" style="150" customWidth="1"/>
    <col min="4867" max="4867" width="14.28515625" style="150" customWidth="1"/>
    <col min="4868" max="4868" width="12.28515625" style="150" customWidth="1"/>
    <col min="4869" max="5120" width="14.28515625" style="150" customWidth="1"/>
    <col min="5121" max="5121" width="8.85546875" style="150" customWidth="1"/>
    <col min="5122" max="5122" width="41.85546875" style="150" customWidth="1"/>
    <col min="5123" max="5123" width="14.28515625" style="150" customWidth="1"/>
    <col min="5124" max="5124" width="12.28515625" style="150" customWidth="1"/>
    <col min="5125" max="5376" width="14.28515625" style="150" customWidth="1"/>
    <col min="5377" max="5377" width="8.85546875" style="150" customWidth="1"/>
    <col min="5378" max="5378" width="41.85546875" style="150" customWidth="1"/>
    <col min="5379" max="5379" width="14.28515625" style="150" customWidth="1"/>
    <col min="5380" max="5380" width="12.28515625" style="150" customWidth="1"/>
    <col min="5381" max="5632" width="14.28515625" style="150" customWidth="1"/>
    <col min="5633" max="5633" width="8.85546875" style="150" customWidth="1"/>
    <col min="5634" max="5634" width="41.85546875" style="150" customWidth="1"/>
    <col min="5635" max="5635" width="14.28515625" style="150" customWidth="1"/>
    <col min="5636" max="5636" width="12.28515625" style="150" customWidth="1"/>
    <col min="5637" max="5888" width="14.28515625" style="150" customWidth="1"/>
    <col min="5889" max="5889" width="8.85546875" style="150" customWidth="1"/>
    <col min="5890" max="5890" width="41.85546875" style="150" customWidth="1"/>
    <col min="5891" max="5891" width="14.28515625" style="150" customWidth="1"/>
    <col min="5892" max="5892" width="12.28515625" style="150" customWidth="1"/>
    <col min="5893" max="6144" width="14.28515625" style="150" customWidth="1"/>
    <col min="6145" max="6145" width="8.85546875" style="150" customWidth="1"/>
    <col min="6146" max="6146" width="41.85546875" style="150" customWidth="1"/>
    <col min="6147" max="6147" width="14.28515625" style="150" customWidth="1"/>
    <col min="6148" max="6148" width="12.28515625" style="150" customWidth="1"/>
    <col min="6149" max="6400" width="14.28515625" style="150" customWidth="1"/>
    <col min="6401" max="6401" width="8.85546875" style="150" customWidth="1"/>
    <col min="6402" max="6402" width="41.85546875" style="150" customWidth="1"/>
    <col min="6403" max="6403" width="14.28515625" style="150" customWidth="1"/>
    <col min="6404" max="6404" width="12.28515625" style="150" customWidth="1"/>
    <col min="6405" max="6656" width="14.28515625" style="150" customWidth="1"/>
    <col min="6657" max="6657" width="8.85546875" style="150" customWidth="1"/>
    <col min="6658" max="6658" width="41.85546875" style="150" customWidth="1"/>
    <col min="6659" max="6659" width="14.28515625" style="150" customWidth="1"/>
    <col min="6660" max="6660" width="12.28515625" style="150" customWidth="1"/>
    <col min="6661" max="6912" width="14.28515625" style="150" customWidth="1"/>
    <col min="6913" max="6913" width="8.85546875" style="150" customWidth="1"/>
    <col min="6914" max="6914" width="41.85546875" style="150" customWidth="1"/>
    <col min="6915" max="6915" width="14.28515625" style="150" customWidth="1"/>
    <col min="6916" max="6916" width="12.28515625" style="150" customWidth="1"/>
    <col min="6917" max="7168" width="14.28515625" style="150" customWidth="1"/>
    <col min="7169" max="7169" width="8.85546875" style="150" customWidth="1"/>
    <col min="7170" max="7170" width="41.85546875" style="150" customWidth="1"/>
    <col min="7171" max="7171" width="14.28515625" style="150" customWidth="1"/>
    <col min="7172" max="7172" width="12.28515625" style="150" customWidth="1"/>
    <col min="7173" max="7424" width="14.28515625" style="150" customWidth="1"/>
    <col min="7425" max="7425" width="8.85546875" style="150" customWidth="1"/>
    <col min="7426" max="7426" width="41.85546875" style="150" customWidth="1"/>
    <col min="7427" max="7427" width="14.28515625" style="150" customWidth="1"/>
    <col min="7428" max="7428" width="12.28515625" style="150" customWidth="1"/>
    <col min="7429" max="7680" width="14.28515625" style="150" customWidth="1"/>
    <col min="7681" max="7681" width="8.85546875" style="150" customWidth="1"/>
    <col min="7682" max="7682" width="41.85546875" style="150" customWidth="1"/>
    <col min="7683" max="7683" width="14.28515625" style="150" customWidth="1"/>
    <col min="7684" max="7684" width="12.28515625" style="150" customWidth="1"/>
    <col min="7685" max="7936" width="14.28515625" style="150" customWidth="1"/>
    <col min="7937" max="7937" width="8.85546875" style="150" customWidth="1"/>
    <col min="7938" max="7938" width="41.85546875" style="150" customWidth="1"/>
    <col min="7939" max="7939" width="14.28515625" style="150" customWidth="1"/>
    <col min="7940" max="7940" width="12.28515625" style="150" customWidth="1"/>
    <col min="7941" max="8192" width="14.28515625" style="150" customWidth="1"/>
    <col min="8193" max="8193" width="8.85546875" style="150" customWidth="1"/>
    <col min="8194" max="8194" width="41.85546875" style="150" customWidth="1"/>
    <col min="8195" max="8195" width="14.28515625" style="150" customWidth="1"/>
    <col min="8196" max="8196" width="12.28515625" style="150" customWidth="1"/>
    <col min="8197" max="8448" width="14.28515625" style="150" customWidth="1"/>
    <col min="8449" max="8449" width="8.85546875" style="150" customWidth="1"/>
    <col min="8450" max="8450" width="41.85546875" style="150" customWidth="1"/>
    <col min="8451" max="8451" width="14.28515625" style="150" customWidth="1"/>
    <col min="8452" max="8452" width="12.28515625" style="150" customWidth="1"/>
    <col min="8453" max="8704" width="14.28515625" style="150" customWidth="1"/>
    <col min="8705" max="8705" width="8.85546875" style="150" customWidth="1"/>
    <col min="8706" max="8706" width="41.85546875" style="150" customWidth="1"/>
    <col min="8707" max="8707" width="14.28515625" style="150" customWidth="1"/>
    <col min="8708" max="8708" width="12.28515625" style="150" customWidth="1"/>
    <col min="8709" max="8960" width="14.28515625" style="150" customWidth="1"/>
    <col min="8961" max="8961" width="8.85546875" style="150" customWidth="1"/>
    <col min="8962" max="8962" width="41.85546875" style="150" customWidth="1"/>
    <col min="8963" max="8963" width="14.28515625" style="150" customWidth="1"/>
    <col min="8964" max="8964" width="12.28515625" style="150" customWidth="1"/>
    <col min="8965" max="9216" width="14.28515625" style="150" customWidth="1"/>
    <col min="9217" max="9217" width="8.85546875" style="150" customWidth="1"/>
    <col min="9218" max="9218" width="41.85546875" style="150" customWidth="1"/>
    <col min="9219" max="9219" width="14.28515625" style="150" customWidth="1"/>
    <col min="9220" max="9220" width="12.28515625" style="150" customWidth="1"/>
    <col min="9221" max="9472" width="14.28515625" style="150" customWidth="1"/>
    <col min="9473" max="9473" width="8.85546875" style="150" customWidth="1"/>
    <col min="9474" max="9474" width="41.85546875" style="150" customWidth="1"/>
    <col min="9475" max="9475" width="14.28515625" style="150" customWidth="1"/>
    <col min="9476" max="9476" width="12.28515625" style="150" customWidth="1"/>
    <col min="9477" max="9728" width="14.28515625" style="150" customWidth="1"/>
    <col min="9729" max="9729" width="8.85546875" style="150" customWidth="1"/>
    <col min="9730" max="9730" width="41.85546875" style="150" customWidth="1"/>
    <col min="9731" max="9731" width="14.28515625" style="150" customWidth="1"/>
    <col min="9732" max="9732" width="12.28515625" style="150" customWidth="1"/>
    <col min="9733" max="9984" width="14.28515625" style="150" customWidth="1"/>
    <col min="9985" max="9985" width="8.85546875" style="150" customWidth="1"/>
    <col min="9986" max="9986" width="41.85546875" style="150" customWidth="1"/>
    <col min="9987" max="9987" width="14.28515625" style="150" customWidth="1"/>
    <col min="9988" max="9988" width="12.28515625" style="150" customWidth="1"/>
    <col min="9989" max="10240" width="14.28515625" style="150" customWidth="1"/>
    <col min="10241" max="10241" width="8.85546875" style="150" customWidth="1"/>
    <col min="10242" max="10242" width="41.85546875" style="150" customWidth="1"/>
    <col min="10243" max="10243" width="14.28515625" style="150" customWidth="1"/>
    <col min="10244" max="10244" width="12.28515625" style="150" customWidth="1"/>
    <col min="10245" max="10496" width="14.28515625" style="150" customWidth="1"/>
    <col min="10497" max="10497" width="8.85546875" style="150" customWidth="1"/>
    <col min="10498" max="10498" width="41.85546875" style="150" customWidth="1"/>
    <col min="10499" max="10499" width="14.28515625" style="150" customWidth="1"/>
    <col min="10500" max="10500" width="12.28515625" style="150" customWidth="1"/>
    <col min="10501" max="10752" width="14.28515625" style="150" customWidth="1"/>
    <col min="10753" max="10753" width="8.85546875" style="150" customWidth="1"/>
    <col min="10754" max="10754" width="41.85546875" style="150" customWidth="1"/>
    <col min="10755" max="10755" width="14.28515625" style="150" customWidth="1"/>
    <col min="10756" max="10756" width="12.28515625" style="150" customWidth="1"/>
    <col min="10757" max="11008" width="14.28515625" style="150" customWidth="1"/>
    <col min="11009" max="11009" width="8.85546875" style="150" customWidth="1"/>
    <col min="11010" max="11010" width="41.85546875" style="150" customWidth="1"/>
    <col min="11011" max="11011" width="14.28515625" style="150" customWidth="1"/>
    <col min="11012" max="11012" width="12.28515625" style="150" customWidth="1"/>
    <col min="11013" max="11264" width="14.28515625" style="150" customWidth="1"/>
    <col min="11265" max="11265" width="8.85546875" style="150" customWidth="1"/>
    <col min="11266" max="11266" width="41.85546875" style="150" customWidth="1"/>
    <col min="11267" max="11267" width="14.28515625" style="150" customWidth="1"/>
    <col min="11268" max="11268" width="12.28515625" style="150" customWidth="1"/>
    <col min="11269" max="11520" width="14.28515625" style="150" customWidth="1"/>
    <col min="11521" max="11521" width="8.85546875" style="150" customWidth="1"/>
    <col min="11522" max="11522" width="41.85546875" style="150" customWidth="1"/>
    <col min="11523" max="11523" width="14.28515625" style="150" customWidth="1"/>
    <col min="11524" max="11524" width="12.28515625" style="150" customWidth="1"/>
    <col min="11525" max="11776" width="14.28515625" style="150" customWidth="1"/>
    <col min="11777" max="11777" width="8.85546875" style="150" customWidth="1"/>
    <col min="11778" max="11778" width="41.85546875" style="150" customWidth="1"/>
    <col min="11779" max="11779" width="14.28515625" style="150" customWidth="1"/>
    <col min="11780" max="11780" width="12.28515625" style="150" customWidth="1"/>
    <col min="11781" max="12032" width="14.28515625" style="150" customWidth="1"/>
    <col min="12033" max="12033" width="8.85546875" style="150" customWidth="1"/>
    <col min="12034" max="12034" width="41.85546875" style="150" customWidth="1"/>
    <col min="12035" max="12035" width="14.28515625" style="150" customWidth="1"/>
    <col min="12036" max="12036" width="12.28515625" style="150" customWidth="1"/>
    <col min="12037" max="12288" width="14.28515625" style="150" customWidth="1"/>
    <col min="12289" max="12289" width="8.85546875" style="150" customWidth="1"/>
    <col min="12290" max="12290" width="41.85546875" style="150" customWidth="1"/>
    <col min="12291" max="12291" width="14.28515625" style="150" customWidth="1"/>
    <col min="12292" max="12292" width="12.28515625" style="150" customWidth="1"/>
    <col min="12293" max="12544" width="14.28515625" style="150" customWidth="1"/>
    <col min="12545" max="12545" width="8.85546875" style="150" customWidth="1"/>
    <col min="12546" max="12546" width="41.85546875" style="150" customWidth="1"/>
    <col min="12547" max="12547" width="14.28515625" style="150" customWidth="1"/>
    <col min="12548" max="12548" width="12.28515625" style="150" customWidth="1"/>
    <col min="12549" max="12800" width="14.28515625" style="150" customWidth="1"/>
    <col min="12801" max="12801" width="8.85546875" style="150" customWidth="1"/>
    <col min="12802" max="12802" width="41.85546875" style="150" customWidth="1"/>
    <col min="12803" max="12803" width="14.28515625" style="150" customWidth="1"/>
    <col min="12804" max="12804" width="12.28515625" style="150" customWidth="1"/>
    <col min="12805" max="13056" width="14.28515625" style="150" customWidth="1"/>
    <col min="13057" max="13057" width="8.85546875" style="150" customWidth="1"/>
    <col min="13058" max="13058" width="41.85546875" style="150" customWidth="1"/>
    <col min="13059" max="13059" width="14.28515625" style="150" customWidth="1"/>
    <col min="13060" max="13060" width="12.28515625" style="150" customWidth="1"/>
    <col min="13061" max="13312" width="14.28515625" style="150" customWidth="1"/>
    <col min="13313" max="13313" width="8.85546875" style="150" customWidth="1"/>
    <col min="13314" max="13314" width="41.85546875" style="150" customWidth="1"/>
    <col min="13315" max="13315" width="14.28515625" style="150" customWidth="1"/>
    <col min="13316" max="13316" width="12.28515625" style="150" customWidth="1"/>
    <col min="13317" max="13568" width="14.28515625" style="150" customWidth="1"/>
    <col min="13569" max="13569" width="8.85546875" style="150" customWidth="1"/>
    <col min="13570" max="13570" width="41.85546875" style="150" customWidth="1"/>
    <col min="13571" max="13571" width="14.28515625" style="150" customWidth="1"/>
    <col min="13572" max="13572" width="12.28515625" style="150" customWidth="1"/>
    <col min="13573" max="13824" width="14.28515625" style="150" customWidth="1"/>
    <col min="13825" max="13825" width="8.85546875" style="150" customWidth="1"/>
    <col min="13826" max="13826" width="41.85546875" style="150" customWidth="1"/>
    <col min="13827" max="13827" width="14.28515625" style="150" customWidth="1"/>
    <col min="13828" max="13828" width="12.28515625" style="150" customWidth="1"/>
    <col min="13829" max="14080" width="14.28515625" style="150" customWidth="1"/>
    <col min="14081" max="14081" width="8.85546875" style="150" customWidth="1"/>
    <col min="14082" max="14082" width="41.85546875" style="150" customWidth="1"/>
    <col min="14083" max="14083" width="14.28515625" style="150" customWidth="1"/>
    <col min="14084" max="14084" width="12.28515625" style="150" customWidth="1"/>
    <col min="14085" max="14336" width="14.28515625" style="150" customWidth="1"/>
    <col min="14337" max="14337" width="8.85546875" style="150" customWidth="1"/>
    <col min="14338" max="14338" width="41.85546875" style="150" customWidth="1"/>
    <col min="14339" max="14339" width="14.28515625" style="150" customWidth="1"/>
    <col min="14340" max="14340" width="12.28515625" style="150" customWidth="1"/>
    <col min="14341" max="14592" width="14.28515625" style="150" customWidth="1"/>
    <col min="14593" max="14593" width="8.85546875" style="150" customWidth="1"/>
    <col min="14594" max="14594" width="41.85546875" style="150" customWidth="1"/>
    <col min="14595" max="14595" width="14.28515625" style="150" customWidth="1"/>
    <col min="14596" max="14596" width="12.28515625" style="150" customWidth="1"/>
    <col min="14597" max="14848" width="14.28515625" style="150" customWidth="1"/>
    <col min="14849" max="14849" width="8.85546875" style="150" customWidth="1"/>
    <col min="14850" max="14850" width="41.85546875" style="150" customWidth="1"/>
    <col min="14851" max="14851" width="14.28515625" style="150" customWidth="1"/>
    <col min="14852" max="14852" width="12.28515625" style="150" customWidth="1"/>
    <col min="14853" max="15104" width="14.28515625" style="150" customWidth="1"/>
    <col min="15105" max="15105" width="8.85546875" style="150" customWidth="1"/>
    <col min="15106" max="15106" width="41.85546875" style="150" customWidth="1"/>
    <col min="15107" max="15107" width="14.28515625" style="150" customWidth="1"/>
    <col min="15108" max="15108" width="12.28515625" style="150" customWidth="1"/>
    <col min="15109" max="15360" width="14.28515625" style="150" customWidth="1"/>
    <col min="15361" max="15361" width="8.85546875" style="150" customWidth="1"/>
    <col min="15362" max="15362" width="41.85546875" style="150" customWidth="1"/>
    <col min="15363" max="15363" width="14.28515625" style="150" customWidth="1"/>
    <col min="15364" max="15364" width="12.28515625" style="150" customWidth="1"/>
    <col min="15365" max="15616" width="14.28515625" style="150" customWidth="1"/>
    <col min="15617" max="15617" width="8.85546875" style="150" customWidth="1"/>
    <col min="15618" max="15618" width="41.85546875" style="150" customWidth="1"/>
    <col min="15619" max="15619" width="14.28515625" style="150" customWidth="1"/>
    <col min="15620" max="15620" width="12.28515625" style="150" customWidth="1"/>
    <col min="15621" max="15872" width="14.28515625" style="150" customWidth="1"/>
    <col min="15873" max="15873" width="8.85546875" style="150" customWidth="1"/>
    <col min="15874" max="15874" width="41.85546875" style="150" customWidth="1"/>
    <col min="15875" max="15875" width="14.28515625" style="150" customWidth="1"/>
    <col min="15876" max="15876" width="12.28515625" style="150" customWidth="1"/>
    <col min="15877" max="16128" width="14.28515625" style="150" customWidth="1"/>
    <col min="16129" max="16129" width="8.85546875" style="150" customWidth="1"/>
    <col min="16130" max="16130" width="41.85546875" style="150" customWidth="1"/>
    <col min="16131" max="16131" width="14.28515625" style="150" customWidth="1"/>
    <col min="16132" max="16132" width="12.28515625" style="150" customWidth="1"/>
    <col min="16133" max="16384" width="14.28515625" style="150" customWidth="1"/>
  </cols>
  <sheetData>
    <row r="2" spans="1:13">
      <c r="B2" s="40" t="s">
        <v>170</v>
      </c>
    </row>
    <row r="4" spans="1:13" s="151" customFormat="1" ht="18.75">
      <c r="A4" s="250" t="s">
        <v>330</v>
      </c>
      <c r="B4" s="250"/>
      <c r="C4" s="250"/>
      <c r="D4" s="250"/>
      <c r="E4" s="250"/>
      <c r="F4" s="250"/>
      <c r="G4" s="250"/>
      <c r="H4" s="250"/>
      <c r="I4" s="250"/>
      <c r="J4" s="250"/>
    </row>
    <row r="6" spans="1:13">
      <c r="B6" s="152" t="s">
        <v>308</v>
      </c>
    </row>
    <row r="7" spans="1:13" ht="17.25" thickBot="1">
      <c r="J7" s="153"/>
      <c r="K7" s="153"/>
      <c r="L7" s="153"/>
      <c r="M7" s="153"/>
    </row>
    <row r="8" spans="1:13" ht="30.75">
      <c r="A8" s="251" t="s">
        <v>171</v>
      </c>
      <c r="B8" s="253" t="s">
        <v>309</v>
      </c>
      <c r="C8" s="255" t="s">
        <v>310</v>
      </c>
      <c r="D8" s="255" t="s">
        <v>311</v>
      </c>
      <c r="E8" s="255" t="s">
        <v>312</v>
      </c>
      <c r="F8" s="255" t="s">
        <v>313</v>
      </c>
      <c r="G8" s="154" t="s">
        <v>314</v>
      </c>
      <c r="H8" s="255" t="s">
        <v>315</v>
      </c>
      <c r="I8" s="257" t="s">
        <v>316</v>
      </c>
      <c r="J8" s="155"/>
      <c r="K8" s="153"/>
      <c r="L8" s="153"/>
      <c r="M8" s="153"/>
    </row>
    <row r="9" spans="1:13" ht="23.25" customHeight="1">
      <c r="A9" s="252"/>
      <c r="B9" s="254"/>
      <c r="C9" s="256"/>
      <c r="D9" s="256"/>
      <c r="E9" s="256"/>
      <c r="F9" s="256"/>
      <c r="G9" s="156" t="s">
        <v>317</v>
      </c>
      <c r="H9" s="256"/>
      <c r="I9" s="258"/>
      <c r="J9" s="153"/>
      <c r="K9" s="153"/>
      <c r="L9" s="153"/>
      <c r="M9" s="153"/>
    </row>
    <row r="10" spans="1:13" ht="31.7" customHeight="1">
      <c r="A10" s="157" t="s">
        <v>318</v>
      </c>
      <c r="B10" s="158" t="s">
        <v>329</v>
      </c>
      <c r="C10" s="50">
        <f>+[1]bilanci!H5</f>
        <v>10500000</v>
      </c>
      <c r="D10" s="50"/>
      <c r="E10" s="50"/>
      <c r="F10" s="50">
        <f>+[1]bilanci!H6+[1]bilanci!H7</f>
        <v>2605124</v>
      </c>
      <c r="G10" s="50">
        <f>+[1]bilanci!H8</f>
        <v>33661501</v>
      </c>
      <c r="H10" s="50">
        <f>+[1]bilanci!H9</f>
        <v>91858</v>
      </c>
      <c r="I10" s="113">
        <f>SUM(C10:H10)</f>
        <v>46858483</v>
      </c>
      <c r="J10" s="153"/>
      <c r="K10" s="153"/>
      <c r="L10" s="153"/>
      <c r="M10" s="153"/>
    </row>
    <row r="11" spans="1:13" ht="21.2" customHeight="1">
      <c r="A11" s="159" t="s">
        <v>319</v>
      </c>
      <c r="B11" s="160" t="s">
        <v>320</v>
      </c>
      <c r="C11" s="48"/>
      <c r="D11" s="48"/>
      <c r="E11" s="48"/>
      <c r="F11" s="48"/>
      <c r="G11" s="48"/>
      <c r="H11" s="48">
        <f>-[1]bilanci!I8</f>
        <v>0</v>
      </c>
      <c r="I11" s="117">
        <f t="shared" ref="I11:I21" si="0">C11+D11+E11+F11+H11</f>
        <v>0</v>
      </c>
      <c r="J11" s="153"/>
      <c r="K11" s="153"/>
      <c r="L11" s="153"/>
      <c r="M11" s="153"/>
    </row>
    <row r="12" spans="1:13" ht="24.75" customHeight="1">
      <c r="A12" s="157" t="s">
        <v>321</v>
      </c>
      <c r="B12" s="158" t="s">
        <v>322</v>
      </c>
      <c r="C12" s="50"/>
      <c r="D12" s="50"/>
      <c r="E12" s="50"/>
      <c r="F12" s="50">
        <v>696240</v>
      </c>
      <c r="G12" s="50">
        <f>+H10-F12</f>
        <v>-604382</v>
      </c>
      <c r="H12" s="50">
        <f>-H10</f>
        <v>-91858</v>
      </c>
      <c r="I12" s="113">
        <f>+G12+H12+F12</f>
        <v>0</v>
      </c>
      <c r="J12" s="153"/>
      <c r="K12" s="153"/>
      <c r="L12" s="153"/>
      <c r="M12" s="153"/>
    </row>
    <row r="13" spans="1:13" ht="24.75" customHeight="1">
      <c r="A13" s="161">
        <v>1</v>
      </c>
      <c r="B13" s="162" t="s">
        <v>323</v>
      </c>
      <c r="C13" s="163"/>
      <c r="D13" s="164"/>
      <c r="E13" s="163"/>
      <c r="F13" s="163"/>
      <c r="G13" s="163"/>
      <c r="H13" s="163"/>
      <c r="I13" s="117">
        <f t="shared" si="0"/>
        <v>0</v>
      </c>
      <c r="J13" s="153"/>
      <c r="K13" s="153"/>
      <c r="L13" s="153"/>
      <c r="M13" s="153"/>
    </row>
    <row r="14" spans="1:13" ht="22.7" customHeight="1">
      <c r="A14" s="161">
        <v>2</v>
      </c>
      <c r="B14" s="162" t="s">
        <v>324</v>
      </c>
      <c r="C14" s="163"/>
      <c r="D14" s="163"/>
      <c r="E14" s="163"/>
      <c r="F14" s="163"/>
      <c r="G14" s="163"/>
      <c r="H14" s="163"/>
      <c r="I14" s="117">
        <f t="shared" si="0"/>
        <v>0</v>
      </c>
      <c r="J14" s="153"/>
      <c r="K14" s="153"/>
      <c r="L14" s="153"/>
      <c r="M14" s="153"/>
    </row>
    <row r="15" spans="1:13" ht="22.7" customHeight="1">
      <c r="A15" s="159">
        <v>3</v>
      </c>
      <c r="B15" s="165" t="s">
        <v>325</v>
      </c>
      <c r="C15" s="48"/>
      <c r="D15" s="48"/>
      <c r="E15" s="48"/>
      <c r="F15" s="48"/>
      <c r="G15" s="48"/>
      <c r="H15" s="48"/>
      <c r="I15" s="117">
        <f t="shared" si="0"/>
        <v>0</v>
      </c>
      <c r="J15" s="153"/>
      <c r="K15" s="153"/>
      <c r="L15" s="153"/>
      <c r="M15" s="153"/>
    </row>
    <row r="16" spans="1:13" ht="21.2" customHeight="1">
      <c r="A16" s="159">
        <v>4</v>
      </c>
      <c r="B16" s="166" t="s">
        <v>326</v>
      </c>
      <c r="C16" s="48"/>
      <c r="D16" s="48"/>
      <c r="E16" s="48"/>
      <c r="F16" s="48"/>
      <c r="G16" s="48"/>
      <c r="H16" s="48"/>
      <c r="I16" s="117">
        <f t="shared" si="0"/>
        <v>0</v>
      </c>
      <c r="J16" s="153"/>
      <c r="K16" s="153"/>
      <c r="L16" s="153"/>
      <c r="M16" s="153"/>
    </row>
    <row r="17" spans="1:13" ht="24" customHeight="1">
      <c r="A17" s="157" t="s">
        <v>254</v>
      </c>
      <c r="B17" s="167" t="s">
        <v>329</v>
      </c>
      <c r="C17" s="168">
        <f>SUM(C10:C16)</f>
        <v>10500000</v>
      </c>
      <c r="D17" s="168">
        <f>SUM(D10:D16)</f>
        <v>0</v>
      </c>
      <c r="E17" s="168">
        <f>SUM(E10:E16)</f>
        <v>0</v>
      </c>
      <c r="F17" s="168">
        <f>SUM(F10:F16)</f>
        <v>3301364</v>
      </c>
      <c r="G17" s="168">
        <f>+G10+G12+H11</f>
        <v>33057119</v>
      </c>
      <c r="H17" s="168"/>
      <c r="I17" s="113">
        <f>+C17+F17+G17</f>
        <v>46858483</v>
      </c>
      <c r="J17" s="153"/>
      <c r="K17" s="153"/>
      <c r="L17" s="153"/>
      <c r="M17" s="153"/>
    </row>
    <row r="18" spans="1:13" ht="26.45" customHeight="1">
      <c r="A18" s="169">
        <v>1</v>
      </c>
      <c r="B18" s="165" t="s">
        <v>323</v>
      </c>
      <c r="C18" s="48"/>
      <c r="D18" s="48"/>
      <c r="E18" s="48"/>
      <c r="F18" s="48"/>
      <c r="G18" s="48"/>
      <c r="H18" s="48">
        <f>+[1]bilanci!L9</f>
        <v>129719323.70890591</v>
      </c>
      <c r="I18" s="117">
        <f t="shared" si="0"/>
        <v>129719323.70890591</v>
      </c>
      <c r="J18" s="153"/>
      <c r="K18" s="153"/>
      <c r="L18" s="153"/>
      <c r="M18" s="153"/>
    </row>
    <row r="19" spans="1:13" ht="22.7" customHeight="1">
      <c r="A19" s="159">
        <v>2</v>
      </c>
      <c r="B19" s="170" t="s">
        <v>324</v>
      </c>
      <c r="C19" s="48"/>
      <c r="D19" s="48"/>
      <c r="E19" s="48"/>
      <c r="F19" s="48"/>
      <c r="G19" s="48"/>
      <c r="H19" s="48"/>
      <c r="I19" s="117">
        <f t="shared" si="0"/>
        <v>0</v>
      </c>
      <c r="J19" s="153"/>
      <c r="K19" s="153"/>
      <c r="L19" s="153"/>
      <c r="M19" s="153"/>
    </row>
    <row r="20" spans="1:13" ht="21.75" customHeight="1">
      <c r="A20" s="171">
        <v>3</v>
      </c>
      <c r="B20" s="172" t="s">
        <v>327</v>
      </c>
      <c r="C20" s="163"/>
      <c r="D20" s="163"/>
      <c r="E20" s="163"/>
      <c r="F20" s="163"/>
      <c r="G20" s="163"/>
      <c r="H20" s="163"/>
      <c r="I20" s="117">
        <f t="shared" si="0"/>
        <v>0</v>
      </c>
      <c r="J20" s="153"/>
      <c r="K20" s="153"/>
      <c r="L20" s="153"/>
      <c r="M20" s="153"/>
    </row>
    <row r="21" spans="1:13" ht="26.45" customHeight="1">
      <c r="A21" s="173">
        <v>4</v>
      </c>
      <c r="B21" s="174" t="s">
        <v>328</v>
      </c>
      <c r="C21" s="163"/>
      <c r="D21" s="163"/>
      <c r="E21" s="163"/>
      <c r="F21" s="163"/>
      <c r="G21" s="163"/>
      <c r="H21" s="163"/>
      <c r="I21" s="117">
        <f t="shared" si="0"/>
        <v>0</v>
      </c>
      <c r="J21" s="153"/>
      <c r="K21" s="153"/>
      <c r="L21" s="153"/>
      <c r="M21" s="153"/>
    </row>
    <row r="22" spans="1:13" ht="29.25" customHeight="1" thickBot="1">
      <c r="A22" s="175" t="s">
        <v>294</v>
      </c>
      <c r="B22" s="176" t="s">
        <v>331</v>
      </c>
      <c r="C22" s="177">
        <f>SUM(C17:C21)</f>
        <v>10500000</v>
      </c>
      <c r="D22" s="177">
        <f>SUM(D17:D21)</f>
        <v>0</v>
      </c>
      <c r="E22" s="177">
        <f>SUM(E17:E21)</f>
        <v>0</v>
      </c>
      <c r="F22" s="177">
        <f>SUM(F17:F21)</f>
        <v>3301364</v>
      </c>
      <c r="G22" s="177">
        <f>+G17</f>
        <v>33057119</v>
      </c>
      <c r="H22" s="177">
        <f>SUM(H17:H21)</f>
        <v>129719323.70890591</v>
      </c>
      <c r="I22" s="113">
        <f>+I17+I18</f>
        <v>176577806.70890591</v>
      </c>
      <c r="J22" s="153"/>
      <c r="K22" s="153"/>
      <c r="L22" s="153"/>
      <c r="M22" s="153"/>
    </row>
    <row r="23" spans="1:13" s="153" customFormat="1">
      <c r="A23" s="155"/>
      <c r="B23" s="178"/>
    </row>
    <row r="24" spans="1:13" s="153" customFormat="1">
      <c r="A24" s="155"/>
      <c r="B24" s="179"/>
    </row>
    <row r="25" spans="1:13" s="153" customFormat="1">
      <c r="A25" s="155"/>
      <c r="B25" s="179"/>
    </row>
    <row r="26" spans="1:13" s="153" customFormat="1">
      <c r="A26" s="155"/>
      <c r="B26" s="180"/>
    </row>
    <row r="27" spans="1:13" s="153" customFormat="1"/>
  </sheetData>
  <mergeCells count="9">
    <mergeCell ref="A4:J4"/>
    <mergeCell ref="A8:A9"/>
    <mergeCell ref="B8:B9"/>
    <mergeCell ref="C8:C9"/>
    <mergeCell ref="D8:D9"/>
    <mergeCell ref="E8:E9"/>
    <mergeCell ref="F8:F9"/>
    <mergeCell ref="H8:H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C1" sqref="C1"/>
    </sheetView>
  </sheetViews>
  <sheetFormatPr defaultColWidth="8" defaultRowHeight="18.75"/>
  <cols>
    <col min="1" max="4" width="8" style="189"/>
    <col min="5" max="5" width="12.5703125" style="189" customWidth="1"/>
    <col min="6" max="6" width="8" style="189"/>
    <col min="7" max="7" width="11.5703125" style="189" bestFit="1" customWidth="1"/>
    <col min="8" max="9" width="8" style="189"/>
    <col min="10" max="10" width="16.28515625" style="189" customWidth="1"/>
    <col min="11" max="260" width="8" style="189"/>
    <col min="261" max="261" width="12.5703125" style="189" customWidth="1"/>
    <col min="262" max="262" width="8" style="189"/>
    <col min="263" max="263" width="11.5703125" style="189" bestFit="1" customWidth="1"/>
    <col min="264" max="265" width="8" style="189"/>
    <col min="266" max="266" width="13.140625" style="189" customWidth="1"/>
    <col min="267" max="516" width="8" style="189"/>
    <col min="517" max="517" width="12.5703125" style="189" customWidth="1"/>
    <col min="518" max="518" width="8" style="189"/>
    <col min="519" max="519" width="11.5703125" style="189" bestFit="1" customWidth="1"/>
    <col min="520" max="521" width="8" style="189"/>
    <col min="522" max="522" width="13.140625" style="189" customWidth="1"/>
    <col min="523" max="772" width="8" style="189"/>
    <col min="773" max="773" width="12.5703125" style="189" customWidth="1"/>
    <col min="774" max="774" width="8" style="189"/>
    <col min="775" max="775" width="11.5703125" style="189" bestFit="1" customWidth="1"/>
    <col min="776" max="777" width="8" style="189"/>
    <col min="778" max="778" width="13.140625" style="189" customWidth="1"/>
    <col min="779" max="1028" width="8" style="189"/>
    <col min="1029" max="1029" width="12.5703125" style="189" customWidth="1"/>
    <col min="1030" max="1030" width="8" style="189"/>
    <col min="1031" max="1031" width="11.5703125" style="189" bestFit="1" customWidth="1"/>
    <col min="1032" max="1033" width="8" style="189"/>
    <col min="1034" max="1034" width="13.140625" style="189" customWidth="1"/>
    <col min="1035" max="1284" width="8" style="189"/>
    <col min="1285" max="1285" width="12.5703125" style="189" customWidth="1"/>
    <col min="1286" max="1286" width="8" style="189"/>
    <col min="1287" max="1287" width="11.5703125" style="189" bestFit="1" customWidth="1"/>
    <col min="1288" max="1289" width="8" style="189"/>
    <col min="1290" max="1290" width="13.140625" style="189" customWidth="1"/>
    <col min="1291" max="1540" width="8" style="189"/>
    <col min="1541" max="1541" width="12.5703125" style="189" customWidth="1"/>
    <col min="1542" max="1542" width="8" style="189"/>
    <col min="1543" max="1543" width="11.5703125" style="189" bestFit="1" customWidth="1"/>
    <col min="1544" max="1545" width="8" style="189"/>
    <col min="1546" max="1546" width="13.140625" style="189" customWidth="1"/>
    <col min="1547" max="1796" width="8" style="189"/>
    <col min="1797" max="1797" width="12.5703125" style="189" customWidth="1"/>
    <col min="1798" max="1798" width="8" style="189"/>
    <col min="1799" max="1799" width="11.5703125" style="189" bestFit="1" customWidth="1"/>
    <col min="1800" max="1801" width="8" style="189"/>
    <col min="1802" max="1802" width="13.140625" style="189" customWidth="1"/>
    <col min="1803" max="2052" width="8" style="189"/>
    <col min="2053" max="2053" width="12.5703125" style="189" customWidth="1"/>
    <col min="2054" max="2054" width="8" style="189"/>
    <col min="2055" max="2055" width="11.5703125" style="189" bestFit="1" customWidth="1"/>
    <col min="2056" max="2057" width="8" style="189"/>
    <col min="2058" max="2058" width="13.140625" style="189" customWidth="1"/>
    <col min="2059" max="2308" width="8" style="189"/>
    <col min="2309" max="2309" width="12.5703125" style="189" customWidth="1"/>
    <col min="2310" max="2310" width="8" style="189"/>
    <col min="2311" max="2311" width="11.5703125" style="189" bestFit="1" customWidth="1"/>
    <col min="2312" max="2313" width="8" style="189"/>
    <col min="2314" max="2314" width="13.140625" style="189" customWidth="1"/>
    <col min="2315" max="2564" width="8" style="189"/>
    <col min="2565" max="2565" width="12.5703125" style="189" customWidth="1"/>
    <col min="2566" max="2566" width="8" style="189"/>
    <col min="2567" max="2567" width="11.5703125" style="189" bestFit="1" customWidth="1"/>
    <col min="2568" max="2569" width="8" style="189"/>
    <col min="2570" max="2570" width="13.140625" style="189" customWidth="1"/>
    <col min="2571" max="2820" width="8" style="189"/>
    <col min="2821" max="2821" width="12.5703125" style="189" customWidth="1"/>
    <col min="2822" max="2822" width="8" style="189"/>
    <col min="2823" max="2823" width="11.5703125" style="189" bestFit="1" customWidth="1"/>
    <col min="2824" max="2825" width="8" style="189"/>
    <col min="2826" max="2826" width="13.140625" style="189" customWidth="1"/>
    <col min="2827" max="3076" width="8" style="189"/>
    <col min="3077" max="3077" width="12.5703125" style="189" customWidth="1"/>
    <col min="3078" max="3078" width="8" style="189"/>
    <col min="3079" max="3079" width="11.5703125" style="189" bestFit="1" customWidth="1"/>
    <col min="3080" max="3081" width="8" style="189"/>
    <col min="3082" max="3082" width="13.140625" style="189" customWidth="1"/>
    <col min="3083" max="3332" width="8" style="189"/>
    <col min="3333" max="3333" width="12.5703125" style="189" customWidth="1"/>
    <col min="3334" max="3334" width="8" style="189"/>
    <col min="3335" max="3335" width="11.5703125" style="189" bestFit="1" customWidth="1"/>
    <col min="3336" max="3337" width="8" style="189"/>
    <col min="3338" max="3338" width="13.140625" style="189" customWidth="1"/>
    <col min="3339" max="3588" width="8" style="189"/>
    <col min="3589" max="3589" width="12.5703125" style="189" customWidth="1"/>
    <col min="3590" max="3590" width="8" style="189"/>
    <col min="3591" max="3591" width="11.5703125" style="189" bestFit="1" customWidth="1"/>
    <col min="3592" max="3593" width="8" style="189"/>
    <col min="3594" max="3594" width="13.140625" style="189" customWidth="1"/>
    <col min="3595" max="3844" width="8" style="189"/>
    <col min="3845" max="3845" width="12.5703125" style="189" customWidth="1"/>
    <col min="3846" max="3846" width="8" style="189"/>
    <col min="3847" max="3847" width="11.5703125" style="189" bestFit="1" customWidth="1"/>
    <col min="3848" max="3849" width="8" style="189"/>
    <col min="3850" max="3850" width="13.140625" style="189" customWidth="1"/>
    <col min="3851" max="4100" width="8" style="189"/>
    <col min="4101" max="4101" width="12.5703125" style="189" customWidth="1"/>
    <col min="4102" max="4102" width="8" style="189"/>
    <col min="4103" max="4103" width="11.5703125" style="189" bestFit="1" customWidth="1"/>
    <col min="4104" max="4105" width="8" style="189"/>
    <col min="4106" max="4106" width="13.140625" style="189" customWidth="1"/>
    <col min="4107" max="4356" width="8" style="189"/>
    <col min="4357" max="4357" width="12.5703125" style="189" customWidth="1"/>
    <col min="4358" max="4358" width="8" style="189"/>
    <col min="4359" max="4359" width="11.5703125" style="189" bestFit="1" customWidth="1"/>
    <col min="4360" max="4361" width="8" style="189"/>
    <col min="4362" max="4362" width="13.140625" style="189" customWidth="1"/>
    <col min="4363" max="4612" width="8" style="189"/>
    <col min="4613" max="4613" width="12.5703125" style="189" customWidth="1"/>
    <col min="4614" max="4614" width="8" style="189"/>
    <col min="4615" max="4615" width="11.5703125" style="189" bestFit="1" customWidth="1"/>
    <col min="4616" max="4617" width="8" style="189"/>
    <col min="4618" max="4618" width="13.140625" style="189" customWidth="1"/>
    <col min="4619" max="4868" width="8" style="189"/>
    <col min="4869" max="4869" width="12.5703125" style="189" customWidth="1"/>
    <col min="4870" max="4870" width="8" style="189"/>
    <col min="4871" max="4871" width="11.5703125" style="189" bestFit="1" customWidth="1"/>
    <col min="4872" max="4873" width="8" style="189"/>
    <col min="4874" max="4874" width="13.140625" style="189" customWidth="1"/>
    <col min="4875" max="5124" width="8" style="189"/>
    <col min="5125" max="5125" width="12.5703125" style="189" customWidth="1"/>
    <col min="5126" max="5126" width="8" style="189"/>
    <col min="5127" max="5127" width="11.5703125" style="189" bestFit="1" customWidth="1"/>
    <col min="5128" max="5129" width="8" style="189"/>
    <col min="5130" max="5130" width="13.140625" style="189" customWidth="1"/>
    <col min="5131" max="5380" width="8" style="189"/>
    <col min="5381" max="5381" width="12.5703125" style="189" customWidth="1"/>
    <col min="5382" max="5382" width="8" style="189"/>
    <col min="5383" max="5383" width="11.5703125" style="189" bestFit="1" customWidth="1"/>
    <col min="5384" max="5385" width="8" style="189"/>
    <col min="5386" max="5386" width="13.140625" style="189" customWidth="1"/>
    <col min="5387" max="5636" width="8" style="189"/>
    <col min="5637" max="5637" width="12.5703125" style="189" customWidth="1"/>
    <col min="5638" max="5638" width="8" style="189"/>
    <col min="5639" max="5639" width="11.5703125" style="189" bestFit="1" customWidth="1"/>
    <col min="5640" max="5641" width="8" style="189"/>
    <col min="5642" max="5642" width="13.140625" style="189" customWidth="1"/>
    <col min="5643" max="5892" width="8" style="189"/>
    <col min="5893" max="5893" width="12.5703125" style="189" customWidth="1"/>
    <col min="5894" max="5894" width="8" style="189"/>
    <col min="5895" max="5895" width="11.5703125" style="189" bestFit="1" customWidth="1"/>
    <col min="5896" max="5897" width="8" style="189"/>
    <col min="5898" max="5898" width="13.140625" style="189" customWidth="1"/>
    <col min="5899" max="6148" width="8" style="189"/>
    <col min="6149" max="6149" width="12.5703125" style="189" customWidth="1"/>
    <col min="6150" max="6150" width="8" style="189"/>
    <col min="6151" max="6151" width="11.5703125" style="189" bestFit="1" customWidth="1"/>
    <col min="6152" max="6153" width="8" style="189"/>
    <col min="6154" max="6154" width="13.140625" style="189" customWidth="1"/>
    <col min="6155" max="6404" width="8" style="189"/>
    <col min="6405" max="6405" width="12.5703125" style="189" customWidth="1"/>
    <col min="6406" max="6406" width="8" style="189"/>
    <col min="6407" max="6407" width="11.5703125" style="189" bestFit="1" customWidth="1"/>
    <col min="6408" max="6409" width="8" style="189"/>
    <col min="6410" max="6410" width="13.140625" style="189" customWidth="1"/>
    <col min="6411" max="6660" width="8" style="189"/>
    <col min="6661" max="6661" width="12.5703125" style="189" customWidth="1"/>
    <col min="6662" max="6662" width="8" style="189"/>
    <col min="6663" max="6663" width="11.5703125" style="189" bestFit="1" customWidth="1"/>
    <col min="6664" max="6665" width="8" style="189"/>
    <col min="6666" max="6666" width="13.140625" style="189" customWidth="1"/>
    <col min="6667" max="6916" width="8" style="189"/>
    <col min="6917" max="6917" width="12.5703125" style="189" customWidth="1"/>
    <col min="6918" max="6918" width="8" style="189"/>
    <col min="6919" max="6919" width="11.5703125" style="189" bestFit="1" customWidth="1"/>
    <col min="6920" max="6921" width="8" style="189"/>
    <col min="6922" max="6922" width="13.140625" style="189" customWidth="1"/>
    <col min="6923" max="7172" width="8" style="189"/>
    <col min="7173" max="7173" width="12.5703125" style="189" customWidth="1"/>
    <col min="7174" max="7174" width="8" style="189"/>
    <col min="7175" max="7175" width="11.5703125" style="189" bestFit="1" customWidth="1"/>
    <col min="7176" max="7177" width="8" style="189"/>
    <col min="7178" max="7178" width="13.140625" style="189" customWidth="1"/>
    <col min="7179" max="7428" width="8" style="189"/>
    <col min="7429" max="7429" width="12.5703125" style="189" customWidth="1"/>
    <col min="7430" max="7430" width="8" style="189"/>
    <col min="7431" max="7431" width="11.5703125" style="189" bestFit="1" customWidth="1"/>
    <col min="7432" max="7433" width="8" style="189"/>
    <col min="7434" max="7434" width="13.140625" style="189" customWidth="1"/>
    <col min="7435" max="7684" width="8" style="189"/>
    <col min="7685" max="7685" width="12.5703125" style="189" customWidth="1"/>
    <col min="7686" max="7686" width="8" style="189"/>
    <col min="7687" max="7687" width="11.5703125" style="189" bestFit="1" customWidth="1"/>
    <col min="7688" max="7689" width="8" style="189"/>
    <col min="7690" max="7690" width="13.140625" style="189" customWidth="1"/>
    <col min="7691" max="7940" width="8" style="189"/>
    <col min="7941" max="7941" width="12.5703125" style="189" customWidth="1"/>
    <col min="7942" max="7942" width="8" style="189"/>
    <col min="7943" max="7943" width="11.5703125" style="189" bestFit="1" customWidth="1"/>
    <col min="7944" max="7945" width="8" style="189"/>
    <col min="7946" max="7946" width="13.140625" style="189" customWidth="1"/>
    <col min="7947" max="8196" width="8" style="189"/>
    <col min="8197" max="8197" width="12.5703125" style="189" customWidth="1"/>
    <col min="8198" max="8198" width="8" style="189"/>
    <col min="8199" max="8199" width="11.5703125" style="189" bestFit="1" customWidth="1"/>
    <col min="8200" max="8201" width="8" style="189"/>
    <col min="8202" max="8202" width="13.140625" style="189" customWidth="1"/>
    <col min="8203" max="8452" width="8" style="189"/>
    <col min="8453" max="8453" width="12.5703125" style="189" customWidth="1"/>
    <col min="8454" max="8454" width="8" style="189"/>
    <col min="8455" max="8455" width="11.5703125" style="189" bestFit="1" customWidth="1"/>
    <col min="8456" max="8457" width="8" style="189"/>
    <col min="8458" max="8458" width="13.140625" style="189" customWidth="1"/>
    <col min="8459" max="8708" width="8" style="189"/>
    <col min="8709" max="8709" width="12.5703125" style="189" customWidth="1"/>
    <col min="8710" max="8710" width="8" style="189"/>
    <col min="8711" max="8711" width="11.5703125" style="189" bestFit="1" customWidth="1"/>
    <col min="8712" max="8713" width="8" style="189"/>
    <col min="8714" max="8714" width="13.140625" style="189" customWidth="1"/>
    <col min="8715" max="8964" width="8" style="189"/>
    <col min="8965" max="8965" width="12.5703125" style="189" customWidth="1"/>
    <col min="8966" max="8966" width="8" style="189"/>
    <col min="8967" max="8967" width="11.5703125" style="189" bestFit="1" customWidth="1"/>
    <col min="8968" max="8969" width="8" style="189"/>
    <col min="8970" max="8970" width="13.140625" style="189" customWidth="1"/>
    <col min="8971" max="9220" width="8" style="189"/>
    <col min="9221" max="9221" width="12.5703125" style="189" customWidth="1"/>
    <col min="9222" max="9222" width="8" style="189"/>
    <col min="9223" max="9223" width="11.5703125" style="189" bestFit="1" customWidth="1"/>
    <col min="9224" max="9225" width="8" style="189"/>
    <col min="9226" max="9226" width="13.140625" style="189" customWidth="1"/>
    <col min="9227" max="9476" width="8" style="189"/>
    <col min="9477" max="9477" width="12.5703125" style="189" customWidth="1"/>
    <col min="9478" max="9478" width="8" style="189"/>
    <col min="9479" max="9479" width="11.5703125" style="189" bestFit="1" customWidth="1"/>
    <col min="9480" max="9481" width="8" style="189"/>
    <col min="9482" max="9482" width="13.140625" style="189" customWidth="1"/>
    <col min="9483" max="9732" width="8" style="189"/>
    <col min="9733" max="9733" width="12.5703125" style="189" customWidth="1"/>
    <col min="9734" max="9734" width="8" style="189"/>
    <col min="9735" max="9735" width="11.5703125" style="189" bestFit="1" customWidth="1"/>
    <col min="9736" max="9737" width="8" style="189"/>
    <col min="9738" max="9738" width="13.140625" style="189" customWidth="1"/>
    <col min="9739" max="9988" width="8" style="189"/>
    <col min="9989" max="9989" width="12.5703125" style="189" customWidth="1"/>
    <col min="9990" max="9990" width="8" style="189"/>
    <col min="9991" max="9991" width="11.5703125" style="189" bestFit="1" customWidth="1"/>
    <col min="9992" max="9993" width="8" style="189"/>
    <col min="9994" max="9994" width="13.140625" style="189" customWidth="1"/>
    <col min="9995" max="10244" width="8" style="189"/>
    <col min="10245" max="10245" width="12.5703125" style="189" customWidth="1"/>
    <col min="10246" max="10246" width="8" style="189"/>
    <col min="10247" max="10247" width="11.5703125" style="189" bestFit="1" customWidth="1"/>
    <col min="10248" max="10249" width="8" style="189"/>
    <col min="10250" max="10250" width="13.140625" style="189" customWidth="1"/>
    <col min="10251" max="10500" width="8" style="189"/>
    <col min="10501" max="10501" width="12.5703125" style="189" customWidth="1"/>
    <col min="10502" max="10502" width="8" style="189"/>
    <col min="10503" max="10503" width="11.5703125" style="189" bestFit="1" customWidth="1"/>
    <col min="10504" max="10505" width="8" style="189"/>
    <col min="10506" max="10506" width="13.140625" style="189" customWidth="1"/>
    <col min="10507" max="10756" width="8" style="189"/>
    <col min="10757" max="10757" width="12.5703125" style="189" customWidth="1"/>
    <col min="10758" max="10758" width="8" style="189"/>
    <col min="10759" max="10759" width="11.5703125" style="189" bestFit="1" customWidth="1"/>
    <col min="10760" max="10761" width="8" style="189"/>
    <col min="10762" max="10762" width="13.140625" style="189" customWidth="1"/>
    <col min="10763" max="11012" width="8" style="189"/>
    <col min="11013" max="11013" width="12.5703125" style="189" customWidth="1"/>
    <col min="11014" max="11014" width="8" style="189"/>
    <col min="11015" max="11015" width="11.5703125" style="189" bestFit="1" customWidth="1"/>
    <col min="11016" max="11017" width="8" style="189"/>
    <col min="11018" max="11018" width="13.140625" style="189" customWidth="1"/>
    <col min="11019" max="11268" width="8" style="189"/>
    <col min="11269" max="11269" width="12.5703125" style="189" customWidth="1"/>
    <col min="11270" max="11270" width="8" style="189"/>
    <col min="11271" max="11271" width="11.5703125" style="189" bestFit="1" customWidth="1"/>
    <col min="11272" max="11273" width="8" style="189"/>
    <col min="11274" max="11274" width="13.140625" style="189" customWidth="1"/>
    <col min="11275" max="11524" width="8" style="189"/>
    <col min="11525" max="11525" width="12.5703125" style="189" customWidth="1"/>
    <col min="11526" max="11526" width="8" style="189"/>
    <col min="11527" max="11527" width="11.5703125" style="189" bestFit="1" customWidth="1"/>
    <col min="11528" max="11529" width="8" style="189"/>
    <col min="11530" max="11530" width="13.140625" style="189" customWidth="1"/>
    <col min="11531" max="11780" width="8" style="189"/>
    <col min="11781" max="11781" width="12.5703125" style="189" customWidth="1"/>
    <col min="11782" max="11782" width="8" style="189"/>
    <col min="11783" max="11783" width="11.5703125" style="189" bestFit="1" customWidth="1"/>
    <col min="11784" max="11785" width="8" style="189"/>
    <col min="11786" max="11786" width="13.140625" style="189" customWidth="1"/>
    <col min="11787" max="12036" width="8" style="189"/>
    <col min="12037" max="12037" width="12.5703125" style="189" customWidth="1"/>
    <col min="12038" max="12038" width="8" style="189"/>
    <col min="12039" max="12039" width="11.5703125" style="189" bestFit="1" customWidth="1"/>
    <col min="12040" max="12041" width="8" style="189"/>
    <col min="12042" max="12042" width="13.140625" style="189" customWidth="1"/>
    <col min="12043" max="12292" width="8" style="189"/>
    <col min="12293" max="12293" width="12.5703125" style="189" customWidth="1"/>
    <col min="12294" max="12294" width="8" style="189"/>
    <col min="12295" max="12295" width="11.5703125" style="189" bestFit="1" customWidth="1"/>
    <col min="12296" max="12297" width="8" style="189"/>
    <col min="12298" max="12298" width="13.140625" style="189" customWidth="1"/>
    <col min="12299" max="12548" width="8" style="189"/>
    <col min="12549" max="12549" width="12.5703125" style="189" customWidth="1"/>
    <col min="12550" max="12550" width="8" style="189"/>
    <col min="12551" max="12551" width="11.5703125" style="189" bestFit="1" customWidth="1"/>
    <col min="12552" max="12553" width="8" style="189"/>
    <col min="12554" max="12554" width="13.140625" style="189" customWidth="1"/>
    <col min="12555" max="12804" width="8" style="189"/>
    <col min="12805" max="12805" width="12.5703125" style="189" customWidth="1"/>
    <col min="12806" max="12806" width="8" style="189"/>
    <col min="12807" max="12807" width="11.5703125" style="189" bestFit="1" customWidth="1"/>
    <col min="12808" max="12809" width="8" style="189"/>
    <col min="12810" max="12810" width="13.140625" style="189" customWidth="1"/>
    <col min="12811" max="13060" width="8" style="189"/>
    <col min="13061" max="13061" width="12.5703125" style="189" customWidth="1"/>
    <col min="13062" max="13062" width="8" style="189"/>
    <col min="13063" max="13063" width="11.5703125" style="189" bestFit="1" customWidth="1"/>
    <col min="13064" max="13065" width="8" style="189"/>
    <col min="13066" max="13066" width="13.140625" style="189" customWidth="1"/>
    <col min="13067" max="13316" width="8" style="189"/>
    <col min="13317" max="13317" width="12.5703125" style="189" customWidth="1"/>
    <col min="13318" max="13318" width="8" style="189"/>
    <col min="13319" max="13319" width="11.5703125" style="189" bestFit="1" customWidth="1"/>
    <col min="13320" max="13321" width="8" style="189"/>
    <col min="13322" max="13322" width="13.140625" style="189" customWidth="1"/>
    <col min="13323" max="13572" width="8" style="189"/>
    <col min="13573" max="13573" width="12.5703125" style="189" customWidth="1"/>
    <col min="13574" max="13574" width="8" style="189"/>
    <col min="13575" max="13575" width="11.5703125" style="189" bestFit="1" customWidth="1"/>
    <col min="13576" max="13577" width="8" style="189"/>
    <col min="13578" max="13578" width="13.140625" style="189" customWidth="1"/>
    <col min="13579" max="13828" width="8" style="189"/>
    <col min="13829" max="13829" width="12.5703125" style="189" customWidth="1"/>
    <col min="13830" max="13830" width="8" style="189"/>
    <col min="13831" max="13831" width="11.5703125" style="189" bestFit="1" customWidth="1"/>
    <col min="13832" max="13833" width="8" style="189"/>
    <col min="13834" max="13834" width="13.140625" style="189" customWidth="1"/>
    <col min="13835" max="14084" width="8" style="189"/>
    <col min="14085" max="14085" width="12.5703125" style="189" customWidth="1"/>
    <col min="14086" max="14086" width="8" style="189"/>
    <col min="14087" max="14087" width="11.5703125" style="189" bestFit="1" customWidth="1"/>
    <col min="14088" max="14089" width="8" style="189"/>
    <col min="14090" max="14090" width="13.140625" style="189" customWidth="1"/>
    <col min="14091" max="14340" width="8" style="189"/>
    <col min="14341" max="14341" width="12.5703125" style="189" customWidth="1"/>
    <col min="14342" max="14342" width="8" style="189"/>
    <col min="14343" max="14343" width="11.5703125" style="189" bestFit="1" customWidth="1"/>
    <col min="14344" max="14345" width="8" style="189"/>
    <col min="14346" max="14346" width="13.140625" style="189" customWidth="1"/>
    <col min="14347" max="14596" width="8" style="189"/>
    <col min="14597" max="14597" width="12.5703125" style="189" customWidth="1"/>
    <col min="14598" max="14598" width="8" style="189"/>
    <col min="14599" max="14599" width="11.5703125" style="189" bestFit="1" customWidth="1"/>
    <col min="14600" max="14601" width="8" style="189"/>
    <col min="14602" max="14602" width="13.140625" style="189" customWidth="1"/>
    <col min="14603" max="14852" width="8" style="189"/>
    <col min="14853" max="14853" width="12.5703125" style="189" customWidth="1"/>
    <col min="14854" max="14854" width="8" style="189"/>
    <col min="14855" max="14855" width="11.5703125" style="189" bestFit="1" customWidth="1"/>
    <col min="14856" max="14857" width="8" style="189"/>
    <col min="14858" max="14858" width="13.140625" style="189" customWidth="1"/>
    <col min="14859" max="15108" width="8" style="189"/>
    <col min="15109" max="15109" width="12.5703125" style="189" customWidth="1"/>
    <col min="15110" max="15110" width="8" style="189"/>
    <col min="15111" max="15111" width="11.5703125" style="189" bestFit="1" customWidth="1"/>
    <col min="15112" max="15113" width="8" style="189"/>
    <col min="15114" max="15114" width="13.140625" style="189" customWidth="1"/>
    <col min="15115" max="15364" width="8" style="189"/>
    <col min="15365" max="15365" width="12.5703125" style="189" customWidth="1"/>
    <col min="15366" max="15366" width="8" style="189"/>
    <col min="15367" max="15367" width="11.5703125" style="189" bestFit="1" customWidth="1"/>
    <col min="15368" max="15369" width="8" style="189"/>
    <col min="15370" max="15370" width="13.140625" style="189" customWidth="1"/>
    <col min="15371" max="15620" width="8" style="189"/>
    <col min="15621" max="15621" width="12.5703125" style="189" customWidth="1"/>
    <col min="15622" max="15622" width="8" style="189"/>
    <col min="15623" max="15623" width="11.5703125" style="189" bestFit="1" customWidth="1"/>
    <col min="15624" max="15625" width="8" style="189"/>
    <col min="15626" max="15626" width="13.140625" style="189" customWidth="1"/>
    <col min="15627" max="15876" width="8" style="189"/>
    <col min="15877" max="15877" width="12.5703125" style="189" customWidth="1"/>
    <col min="15878" max="15878" width="8" style="189"/>
    <col min="15879" max="15879" width="11.5703125" style="189" bestFit="1" customWidth="1"/>
    <col min="15880" max="15881" width="8" style="189"/>
    <col min="15882" max="15882" width="13.140625" style="189" customWidth="1"/>
    <col min="15883" max="16132" width="8" style="189"/>
    <col min="16133" max="16133" width="12.5703125" style="189" customWidth="1"/>
    <col min="16134" max="16134" width="8" style="189"/>
    <col min="16135" max="16135" width="11.5703125" style="189" bestFit="1" customWidth="1"/>
    <col min="16136" max="16137" width="8" style="189"/>
    <col min="16138" max="16138" width="13.140625" style="189" customWidth="1"/>
    <col min="16139" max="16384" width="8" style="189"/>
  </cols>
  <sheetData>
    <row r="1" spans="1:15" ht="19.5">
      <c r="A1" s="181"/>
      <c r="B1" s="182" t="s">
        <v>332</v>
      </c>
      <c r="C1" s="183"/>
      <c r="D1" s="183"/>
      <c r="E1" s="183"/>
      <c r="F1" s="182" t="s">
        <v>333</v>
      </c>
      <c r="G1" s="184"/>
      <c r="H1" s="185" t="s">
        <v>334</v>
      </c>
      <c r="I1" s="184"/>
      <c r="J1" s="186"/>
    </row>
    <row r="2" spans="1:15">
      <c r="A2" s="187"/>
      <c r="B2" s="188" t="s">
        <v>335</v>
      </c>
      <c r="F2" s="190" t="s">
        <v>336</v>
      </c>
      <c r="G2" s="190"/>
      <c r="H2" s="190"/>
      <c r="I2" s="190"/>
      <c r="J2" s="191"/>
    </row>
    <row r="3" spans="1:15" ht="19.5">
      <c r="A3" s="187"/>
      <c r="B3" s="188" t="s">
        <v>337</v>
      </c>
      <c r="F3" s="192" t="s">
        <v>338</v>
      </c>
      <c r="J3" s="193"/>
    </row>
    <row r="4" spans="1:15">
      <c r="A4" s="187"/>
      <c r="F4" s="189" t="s">
        <v>339</v>
      </c>
      <c r="H4" s="194" t="s">
        <v>340</v>
      </c>
      <c r="J4" s="193"/>
    </row>
    <row r="5" spans="1:15">
      <c r="A5" s="187"/>
      <c r="J5" s="193"/>
    </row>
    <row r="6" spans="1:15">
      <c r="A6" s="187"/>
      <c r="J6" s="193"/>
    </row>
    <row r="7" spans="1:15" ht="19.5">
      <c r="A7" s="187"/>
      <c r="B7" s="192" t="s">
        <v>341</v>
      </c>
      <c r="E7" s="195"/>
      <c r="G7" s="189" t="s">
        <v>342</v>
      </c>
      <c r="J7" s="193"/>
    </row>
    <row r="8" spans="1:15">
      <c r="A8" s="187"/>
      <c r="B8" s="188"/>
      <c r="J8" s="193"/>
      <c r="N8" s="261"/>
      <c r="O8" s="261"/>
    </row>
    <row r="9" spans="1:15" ht="19.5">
      <c r="A9" s="187"/>
      <c r="B9" s="192" t="s">
        <v>343</v>
      </c>
      <c r="E9" s="190"/>
      <c r="G9" s="189">
        <v>25284</v>
      </c>
      <c r="J9" s="193"/>
    </row>
    <row r="10" spans="1:15">
      <c r="A10" s="187"/>
      <c r="B10" s="188"/>
      <c r="J10" s="193"/>
    </row>
    <row r="11" spans="1:15">
      <c r="A11" s="187"/>
      <c r="B11" s="188"/>
      <c r="J11" s="193"/>
    </row>
    <row r="12" spans="1:15" ht="19.5">
      <c r="A12" s="187"/>
      <c r="B12" s="196" t="s">
        <v>344</v>
      </c>
      <c r="G12" s="189" t="s">
        <v>345</v>
      </c>
      <c r="J12" s="193"/>
    </row>
    <row r="13" spans="1:15">
      <c r="A13" s="187"/>
      <c r="G13" s="189" t="s">
        <v>346</v>
      </c>
      <c r="J13" s="193"/>
    </row>
    <row r="14" spans="1:15" ht="19.5">
      <c r="A14" s="187"/>
      <c r="C14" s="196"/>
      <c r="J14" s="193"/>
    </row>
    <row r="15" spans="1:15">
      <c r="A15" s="187"/>
      <c r="J15" s="193"/>
    </row>
    <row r="16" spans="1:15">
      <c r="A16" s="187"/>
      <c r="J16" s="193"/>
    </row>
    <row r="17" spans="1:10" ht="20.25">
      <c r="A17" s="187"/>
      <c r="C17" s="197" t="s">
        <v>347</v>
      </c>
      <c r="J17" s="193"/>
    </row>
    <row r="18" spans="1:10">
      <c r="A18" s="187"/>
      <c r="B18" s="188" t="s">
        <v>348</v>
      </c>
      <c r="J18" s="193"/>
    </row>
    <row r="19" spans="1:10">
      <c r="A19" s="187"/>
      <c r="B19" s="188" t="s">
        <v>349</v>
      </c>
      <c r="J19" s="193"/>
    </row>
    <row r="20" spans="1:10">
      <c r="A20" s="187"/>
      <c r="J20" s="193"/>
    </row>
    <row r="21" spans="1:10" ht="20.25">
      <c r="A21" s="187"/>
      <c r="E21" s="198" t="s">
        <v>350</v>
      </c>
      <c r="F21" s="198"/>
      <c r="G21" s="198">
        <v>2011</v>
      </c>
      <c r="J21" s="193"/>
    </row>
    <row r="22" spans="1:10">
      <c r="A22" s="187"/>
      <c r="J22" s="193"/>
    </row>
    <row r="23" spans="1:10">
      <c r="A23" s="187"/>
      <c r="J23" s="193"/>
    </row>
    <row r="24" spans="1:10">
      <c r="A24" s="187"/>
      <c r="J24" s="193"/>
    </row>
    <row r="25" spans="1:10">
      <c r="A25" s="187"/>
      <c r="B25" s="188" t="s">
        <v>351</v>
      </c>
      <c r="J25" s="193"/>
    </row>
    <row r="26" spans="1:10">
      <c r="A26" s="187"/>
      <c r="B26" s="188" t="s">
        <v>352</v>
      </c>
      <c r="J26" s="193"/>
    </row>
    <row r="27" spans="1:10">
      <c r="A27" s="187"/>
      <c r="B27" s="188" t="s">
        <v>353</v>
      </c>
      <c r="I27" s="189" t="s">
        <v>230</v>
      </c>
      <c r="J27" s="193"/>
    </row>
    <row r="28" spans="1:10">
      <c r="A28" s="187"/>
      <c r="B28" s="188" t="s">
        <v>354</v>
      </c>
      <c r="J28" s="193"/>
    </row>
    <row r="29" spans="1:10">
      <c r="A29" s="187"/>
      <c r="B29" s="188"/>
      <c r="J29" s="193"/>
    </row>
    <row r="30" spans="1:10" ht="19.5">
      <c r="A30" s="187"/>
      <c r="B30" s="188" t="s">
        <v>355</v>
      </c>
      <c r="H30" s="196" t="s">
        <v>356</v>
      </c>
      <c r="I30" s="196" t="s">
        <v>359</v>
      </c>
      <c r="J30" s="199"/>
    </row>
    <row r="31" spans="1:10" ht="19.5">
      <c r="A31" s="187"/>
      <c r="B31" s="188"/>
      <c r="H31" s="196" t="s">
        <v>357</v>
      </c>
      <c r="I31" s="196" t="s">
        <v>360</v>
      </c>
      <c r="J31" s="199"/>
    </row>
    <row r="32" spans="1:10">
      <c r="A32" s="187"/>
      <c r="B32" s="188"/>
      <c r="J32" s="193"/>
    </row>
    <row r="33" spans="1:10">
      <c r="A33" s="187"/>
      <c r="B33" s="188" t="s">
        <v>358</v>
      </c>
      <c r="H33" s="189" t="s">
        <v>387</v>
      </c>
      <c r="J33" s="200"/>
    </row>
    <row r="34" spans="1:10">
      <c r="A34" s="187"/>
      <c r="J34" s="200"/>
    </row>
    <row r="35" spans="1:10">
      <c r="A35" s="187"/>
      <c r="J35" s="193"/>
    </row>
    <row r="36" spans="1:10">
      <c r="A36" s="187"/>
      <c r="J36" s="193"/>
    </row>
    <row r="37" spans="1:10" ht="19.5" thickBot="1">
      <c r="A37" s="201"/>
      <c r="B37" s="202"/>
      <c r="C37" s="202"/>
      <c r="D37" s="202"/>
      <c r="E37" s="202"/>
      <c r="F37" s="202"/>
      <c r="G37" s="202"/>
      <c r="H37" s="202"/>
      <c r="I37" s="202"/>
      <c r="J37" s="203"/>
    </row>
  </sheetData>
  <pageMargins left="0.51" right="0.38" top="0.75" bottom="0.75" header="0.3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41"/>
  <sheetViews>
    <sheetView topLeftCell="A25" workbookViewId="0">
      <selection activeCell="I13" sqref="I13"/>
    </sheetView>
  </sheetViews>
  <sheetFormatPr defaultColWidth="10.28515625" defaultRowHeight="12.75"/>
  <cols>
    <col min="1" max="1" width="5" style="39" customWidth="1"/>
    <col min="2" max="2" width="55.85546875" style="39" customWidth="1"/>
    <col min="3" max="4" width="19" style="209" customWidth="1"/>
    <col min="5" max="256" width="10.28515625" style="39"/>
    <col min="257" max="257" width="5" style="39" customWidth="1"/>
    <col min="258" max="258" width="55.85546875" style="39" customWidth="1"/>
    <col min="259" max="260" width="19" style="39" customWidth="1"/>
    <col min="261" max="512" width="10.28515625" style="39"/>
    <col min="513" max="513" width="5" style="39" customWidth="1"/>
    <col min="514" max="514" width="55.85546875" style="39" customWidth="1"/>
    <col min="515" max="516" width="19" style="39" customWidth="1"/>
    <col min="517" max="768" width="10.28515625" style="39"/>
    <col min="769" max="769" width="5" style="39" customWidth="1"/>
    <col min="770" max="770" width="55.85546875" style="39" customWidth="1"/>
    <col min="771" max="772" width="19" style="39" customWidth="1"/>
    <col min="773" max="1024" width="10.28515625" style="39"/>
    <col min="1025" max="1025" width="5" style="39" customWidth="1"/>
    <col min="1026" max="1026" width="55.85546875" style="39" customWidth="1"/>
    <col min="1027" max="1028" width="19" style="39" customWidth="1"/>
    <col min="1029" max="1280" width="10.28515625" style="39"/>
    <col min="1281" max="1281" width="5" style="39" customWidth="1"/>
    <col min="1282" max="1282" width="55.85546875" style="39" customWidth="1"/>
    <col min="1283" max="1284" width="19" style="39" customWidth="1"/>
    <col min="1285" max="1536" width="10.28515625" style="39"/>
    <col min="1537" max="1537" width="5" style="39" customWidth="1"/>
    <col min="1538" max="1538" width="55.85546875" style="39" customWidth="1"/>
    <col min="1539" max="1540" width="19" style="39" customWidth="1"/>
    <col min="1541" max="1792" width="10.28515625" style="39"/>
    <col min="1793" max="1793" width="5" style="39" customWidth="1"/>
    <col min="1794" max="1794" width="55.85546875" style="39" customWidth="1"/>
    <col min="1795" max="1796" width="19" style="39" customWidth="1"/>
    <col min="1797" max="2048" width="10.28515625" style="39"/>
    <col min="2049" max="2049" width="5" style="39" customWidth="1"/>
    <col min="2050" max="2050" width="55.85546875" style="39" customWidth="1"/>
    <col min="2051" max="2052" width="19" style="39" customWidth="1"/>
    <col min="2053" max="2304" width="10.28515625" style="39"/>
    <col min="2305" max="2305" width="5" style="39" customWidth="1"/>
    <col min="2306" max="2306" width="55.85546875" style="39" customWidth="1"/>
    <col min="2307" max="2308" width="19" style="39" customWidth="1"/>
    <col min="2309" max="2560" width="10.28515625" style="39"/>
    <col min="2561" max="2561" width="5" style="39" customWidth="1"/>
    <col min="2562" max="2562" width="55.85546875" style="39" customWidth="1"/>
    <col min="2563" max="2564" width="19" style="39" customWidth="1"/>
    <col min="2565" max="2816" width="10.28515625" style="39"/>
    <col min="2817" max="2817" width="5" style="39" customWidth="1"/>
    <col min="2818" max="2818" width="55.85546875" style="39" customWidth="1"/>
    <col min="2819" max="2820" width="19" style="39" customWidth="1"/>
    <col min="2821" max="3072" width="10.28515625" style="39"/>
    <col min="3073" max="3073" width="5" style="39" customWidth="1"/>
    <col min="3074" max="3074" width="55.85546875" style="39" customWidth="1"/>
    <col min="3075" max="3076" width="19" style="39" customWidth="1"/>
    <col min="3077" max="3328" width="10.28515625" style="39"/>
    <col min="3329" max="3329" width="5" style="39" customWidth="1"/>
    <col min="3330" max="3330" width="55.85546875" style="39" customWidth="1"/>
    <col min="3331" max="3332" width="19" style="39" customWidth="1"/>
    <col min="3333" max="3584" width="10.28515625" style="39"/>
    <col min="3585" max="3585" width="5" style="39" customWidth="1"/>
    <col min="3586" max="3586" width="55.85546875" style="39" customWidth="1"/>
    <col min="3587" max="3588" width="19" style="39" customWidth="1"/>
    <col min="3589" max="3840" width="10.28515625" style="39"/>
    <col min="3841" max="3841" width="5" style="39" customWidth="1"/>
    <col min="3842" max="3842" width="55.85546875" style="39" customWidth="1"/>
    <col min="3843" max="3844" width="19" style="39" customWidth="1"/>
    <col min="3845" max="4096" width="10.28515625" style="39"/>
    <col min="4097" max="4097" width="5" style="39" customWidth="1"/>
    <col min="4098" max="4098" width="55.85546875" style="39" customWidth="1"/>
    <col min="4099" max="4100" width="19" style="39" customWidth="1"/>
    <col min="4101" max="4352" width="10.28515625" style="39"/>
    <col min="4353" max="4353" width="5" style="39" customWidth="1"/>
    <col min="4354" max="4354" width="55.85546875" style="39" customWidth="1"/>
    <col min="4355" max="4356" width="19" style="39" customWidth="1"/>
    <col min="4357" max="4608" width="10.28515625" style="39"/>
    <col min="4609" max="4609" width="5" style="39" customWidth="1"/>
    <col min="4610" max="4610" width="55.85546875" style="39" customWidth="1"/>
    <col min="4611" max="4612" width="19" style="39" customWidth="1"/>
    <col min="4613" max="4864" width="10.28515625" style="39"/>
    <col min="4865" max="4865" width="5" style="39" customWidth="1"/>
    <col min="4866" max="4866" width="55.85546875" style="39" customWidth="1"/>
    <col min="4867" max="4868" width="19" style="39" customWidth="1"/>
    <col min="4869" max="5120" width="10.28515625" style="39"/>
    <col min="5121" max="5121" width="5" style="39" customWidth="1"/>
    <col min="5122" max="5122" width="55.85546875" style="39" customWidth="1"/>
    <col min="5123" max="5124" width="19" style="39" customWidth="1"/>
    <col min="5125" max="5376" width="10.28515625" style="39"/>
    <col min="5377" max="5377" width="5" style="39" customWidth="1"/>
    <col min="5378" max="5378" width="55.85546875" style="39" customWidth="1"/>
    <col min="5379" max="5380" width="19" style="39" customWidth="1"/>
    <col min="5381" max="5632" width="10.28515625" style="39"/>
    <col min="5633" max="5633" width="5" style="39" customWidth="1"/>
    <col min="5634" max="5634" width="55.85546875" style="39" customWidth="1"/>
    <col min="5635" max="5636" width="19" style="39" customWidth="1"/>
    <col min="5637" max="5888" width="10.28515625" style="39"/>
    <col min="5889" max="5889" width="5" style="39" customWidth="1"/>
    <col min="5890" max="5890" width="55.85546875" style="39" customWidth="1"/>
    <col min="5891" max="5892" width="19" style="39" customWidth="1"/>
    <col min="5893" max="6144" width="10.28515625" style="39"/>
    <col min="6145" max="6145" width="5" style="39" customWidth="1"/>
    <col min="6146" max="6146" width="55.85546875" style="39" customWidth="1"/>
    <col min="6147" max="6148" width="19" style="39" customWidth="1"/>
    <col min="6149" max="6400" width="10.28515625" style="39"/>
    <col min="6401" max="6401" width="5" style="39" customWidth="1"/>
    <col min="6402" max="6402" width="55.85546875" style="39" customWidth="1"/>
    <col min="6403" max="6404" width="19" style="39" customWidth="1"/>
    <col min="6405" max="6656" width="10.28515625" style="39"/>
    <col min="6657" max="6657" width="5" style="39" customWidth="1"/>
    <col min="6658" max="6658" width="55.85546875" style="39" customWidth="1"/>
    <col min="6659" max="6660" width="19" style="39" customWidth="1"/>
    <col min="6661" max="6912" width="10.28515625" style="39"/>
    <col min="6913" max="6913" width="5" style="39" customWidth="1"/>
    <col min="6914" max="6914" width="55.85546875" style="39" customWidth="1"/>
    <col min="6915" max="6916" width="19" style="39" customWidth="1"/>
    <col min="6917" max="7168" width="10.28515625" style="39"/>
    <col min="7169" max="7169" width="5" style="39" customWidth="1"/>
    <col min="7170" max="7170" width="55.85546875" style="39" customWidth="1"/>
    <col min="7171" max="7172" width="19" style="39" customWidth="1"/>
    <col min="7173" max="7424" width="10.28515625" style="39"/>
    <col min="7425" max="7425" width="5" style="39" customWidth="1"/>
    <col min="7426" max="7426" width="55.85546875" style="39" customWidth="1"/>
    <col min="7427" max="7428" width="19" style="39" customWidth="1"/>
    <col min="7429" max="7680" width="10.28515625" style="39"/>
    <col min="7681" max="7681" width="5" style="39" customWidth="1"/>
    <col min="7682" max="7682" width="55.85546875" style="39" customWidth="1"/>
    <col min="7683" max="7684" width="19" style="39" customWidth="1"/>
    <col min="7685" max="7936" width="10.28515625" style="39"/>
    <col min="7937" max="7937" width="5" style="39" customWidth="1"/>
    <col min="7938" max="7938" width="55.85546875" style="39" customWidth="1"/>
    <col min="7939" max="7940" width="19" style="39" customWidth="1"/>
    <col min="7941" max="8192" width="10.28515625" style="39"/>
    <col min="8193" max="8193" width="5" style="39" customWidth="1"/>
    <col min="8194" max="8194" width="55.85546875" style="39" customWidth="1"/>
    <col min="8195" max="8196" width="19" style="39" customWidth="1"/>
    <col min="8197" max="8448" width="10.28515625" style="39"/>
    <col min="8449" max="8449" width="5" style="39" customWidth="1"/>
    <col min="8450" max="8450" width="55.85546875" style="39" customWidth="1"/>
    <col min="8451" max="8452" width="19" style="39" customWidth="1"/>
    <col min="8453" max="8704" width="10.28515625" style="39"/>
    <col min="8705" max="8705" width="5" style="39" customWidth="1"/>
    <col min="8706" max="8706" width="55.85546875" style="39" customWidth="1"/>
    <col min="8707" max="8708" width="19" style="39" customWidth="1"/>
    <col min="8709" max="8960" width="10.28515625" style="39"/>
    <col min="8961" max="8961" width="5" style="39" customWidth="1"/>
    <col min="8962" max="8962" width="55.85546875" style="39" customWidth="1"/>
    <col min="8963" max="8964" width="19" style="39" customWidth="1"/>
    <col min="8965" max="9216" width="10.28515625" style="39"/>
    <col min="9217" max="9217" width="5" style="39" customWidth="1"/>
    <col min="9218" max="9218" width="55.85546875" style="39" customWidth="1"/>
    <col min="9219" max="9220" width="19" style="39" customWidth="1"/>
    <col min="9221" max="9472" width="10.28515625" style="39"/>
    <col min="9473" max="9473" width="5" style="39" customWidth="1"/>
    <col min="9474" max="9474" width="55.85546875" style="39" customWidth="1"/>
    <col min="9475" max="9476" width="19" style="39" customWidth="1"/>
    <col min="9477" max="9728" width="10.28515625" style="39"/>
    <col min="9729" max="9729" width="5" style="39" customWidth="1"/>
    <col min="9730" max="9730" width="55.85546875" style="39" customWidth="1"/>
    <col min="9731" max="9732" width="19" style="39" customWidth="1"/>
    <col min="9733" max="9984" width="10.28515625" style="39"/>
    <col min="9985" max="9985" width="5" style="39" customWidth="1"/>
    <col min="9986" max="9986" width="55.85546875" style="39" customWidth="1"/>
    <col min="9987" max="9988" width="19" style="39" customWidth="1"/>
    <col min="9989" max="10240" width="10.28515625" style="39"/>
    <col min="10241" max="10241" width="5" style="39" customWidth="1"/>
    <col min="10242" max="10242" width="55.85546875" style="39" customWidth="1"/>
    <col min="10243" max="10244" width="19" style="39" customWidth="1"/>
    <col min="10245" max="10496" width="10.28515625" style="39"/>
    <col min="10497" max="10497" width="5" style="39" customWidth="1"/>
    <col min="10498" max="10498" width="55.85546875" style="39" customWidth="1"/>
    <col min="10499" max="10500" width="19" style="39" customWidth="1"/>
    <col min="10501" max="10752" width="10.28515625" style="39"/>
    <col min="10753" max="10753" width="5" style="39" customWidth="1"/>
    <col min="10754" max="10754" width="55.85546875" style="39" customWidth="1"/>
    <col min="10755" max="10756" width="19" style="39" customWidth="1"/>
    <col min="10757" max="11008" width="10.28515625" style="39"/>
    <col min="11009" max="11009" width="5" style="39" customWidth="1"/>
    <col min="11010" max="11010" width="55.85546875" style="39" customWidth="1"/>
    <col min="11011" max="11012" width="19" style="39" customWidth="1"/>
    <col min="11013" max="11264" width="10.28515625" style="39"/>
    <col min="11265" max="11265" width="5" style="39" customWidth="1"/>
    <col min="11266" max="11266" width="55.85546875" style="39" customWidth="1"/>
    <col min="11267" max="11268" width="19" style="39" customWidth="1"/>
    <col min="11269" max="11520" width="10.28515625" style="39"/>
    <col min="11521" max="11521" width="5" style="39" customWidth="1"/>
    <col min="11522" max="11522" width="55.85546875" style="39" customWidth="1"/>
    <col min="11523" max="11524" width="19" style="39" customWidth="1"/>
    <col min="11525" max="11776" width="10.28515625" style="39"/>
    <col min="11777" max="11777" width="5" style="39" customWidth="1"/>
    <col min="11778" max="11778" width="55.85546875" style="39" customWidth="1"/>
    <col min="11779" max="11780" width="19" style="39" customWidth="1"/>
    <col min="11781" max="12032" width="10.28515625" style="39"/>
    <col min="12033" max="12033" width="5" style="39" customWidth="1"/>
    <col min="12034" max="12034" width="55.85546875" style="39" customWidth="1"/>
    <col min="12035" max="12036" width="19" style="39" customWidth="1"/>
    <col min="12037" max="12288" width="10.28515625" style="39"/>
    <col min="12289" max="12289" width="5" style="39" customWidth="1"/>
    <col min="12290" max="12290" width="55.85546875" style="39" customWidth="1"/>
    <col min="12291" max="12292" width="19" style="39" customWidth="1"/>
    <col min="12293" max="12544" width="10.28515625" style="39"/>
    <col min="12545" max="12545" width="5" style="39" customWidth="1"/>
    <col min="12546" max="12546" width="55.85546875" style="39" customWidth="1"/>
    <col min="12547" max="12548" width="19" style="39" customWidth="1"/>
    <col min="12549" max="12800" width="10.28515625" style="39"/>
    <col min="12801" max="12801" width="5" style="39" customWidth="1"/>
    <col min="12802" max="12802" width="55.85546875" style="39" customWidth="1"/>
    <col min="12803" max="12804" width="19" style="39" customWidth="1"/>
    <col min="12805" max="13056" width="10.28515625" style="39"/>
    <col min="13057" max="13057" width="5" style="39" customWidth="1"/>
    <col min="13058" max="13058" width="55.85546875" style="39" customWidth="1"/>
    <col min="13059" max="13060" width="19" style="39" customWidth="1"/>
    <col min="13061" max="13312" width="10.28515625" style="39"/>
    <col min="13313" max="13313" width="5" style="39" customWidth="1"/>
    <col min="13314" max="13314" width="55.85546875" style="39" customWidth="1"/>
    <col min="13315" max="13316" width="19" style="39" customWidth="1"/>
    <col min="13317" max="13568" width="10.28515625" style="39"/>
    <col min="13569" max="13569" width="5" style="39" customWidth="1"/>
    <col min="13570" max="13570" width="55.85546875" style="39" customWidth="1"/>
    <col min="13571" max="13572" width="19" style="39" customWidth="1"/>
    <col min="13573" max="13824" width="10.28515625" style="39"/>
    <col min="13825" max="13825" width="5" style="39" customWidth="1"/>
    <col min="13826" max="13826" width="55.85546875" style="39" customWidth="1"/>
    <col min="13827" max="13828" width="19" style="39" customWidth="1"/>
    <col min="13829" max="14080" width="10.28515625" style="39"/>
    <col min="14081" max="14081" width="5" style="39" customWidth="1"/>
    <col min="14082" max="14082" width="55.85546875" style="39" customWidth="1"/>
    <col min="14083" max="14084" width="19" style="39" customWidth="1"/>
    <col min="14085" max="14336" width="10.28515625" style="39"/>
    <col min="14337" max="14337" width="5" style="39" customWidth="1"/>
    <col min="14338" max="14338" width="55.85546875" style="39" customWidth="1"/>
    <col min="14339" max="14340" width="19" style="39" customWidth="1"/>
    <col min="14341" max="14592" width="10.28515625" style="39"/>
    <col min="14593" max="14593" width="5" style="39" customWidth="1"/>
    <col min="14594" max="14594" width="55.85546875" style="39" customWidth="1"/>
    <col min="14595" max="14596" width="19" style="39" customWidth="1"/>
    <col min="14597" max="14848" width="10.28515625" style="39"/>
    <col min="14849" max="14849" width="5" style="39" customWidth="1"/>
    <col min="14850" max="14850" width="55.85546875" style="39" customWidth="1"/>
    <col min="14851" max="14852" width="19" style="39" customWidth="1"/>
    <col min="14853" max="15104" width="10.28515625" style="39"/>
    <col min="15105" max="15105" width="5" style="39" customWidth="1"/>
    <col min="15106" max="15106" width="55.85546875" style="39" customWidth="1"/>
    <col min="15107" max="15108" width="19" style="39" customWidth="1"/>
    <col min="15109" max="15360" width="10.28515625" style="39"/>
    <col min="15361" max="15361" width="5" style="39" customWidth="1"/>
    <col min="15362" max="15362" width="55.85546875" style="39" customWidth="1"/>
    <col min="15363" max="15364" width="19" style="39" customWidth="1"/>
    <col min="15365" max="15616" width="10.28515625" style="39"/>
    <col min="15617" max="15617" width="5" style="39" customWidth="1"/>
    <col min="15618" max="15618" width="55.85546875" style="39" customWidth="1"/>
    <col min="15619" max="15620" width="19" style="39" customWidth="1"/>
    <col min="15621" max="15872" width="10.28515625" style="39"/>
    <col min="15873" max="15873" width="5" style="39" customWidth="1"/>
    <col min="15874" max="15874" width="55.85546875" style="39" customWidth="1"/>
    <col min="15875" max="15876" width="19" style="39" customWidth="1"/>
    <col min="15877" max="16128" width="10.28515625" style="39"/>
    <col min="16129" max="16129" width="5" style="39" customWidth="1"/>
    <col min="16130" max="16130" width="55.85546875" style="39" customWidth="1"/>
    <col min="16131" max="16132" width="19" style="39" customWidth="1"/>
    <col min="16133" max="16384" width="10.28515625" style="39"/>
  </cols>
  <sheetData>
    <row r="2" spans="1:4" s="204" customFormat="1" ht="18.75">
      <c r="B2" s="205" t="s">
        <v>170</v>
      </c>
      <c r="C2" s="206"/>
      <c r="D2" s="206"/>
    </row>
    <row r="3" spans="1:4" s="204" customFormat="1" ht="13.5">
      <c r="C3" s="206"/>
      <c r="D3" s="206"/>
    </row>
    <row r="4" spans="1:4" s="204" customFormat="1" ht="18.75">
      <c r="A4" s="259" t="s">
        <v>361</v>
      </c>
      <c r="B4" s="259"/>
      <c r="C4" s="259"/>
      <c r="D4" s="259"/>
    </row>
    <row r="5" spans="1:4" ht="18.75">
      <c r="A5" s="207"/>
      <c r="B5" s="207"/>
      <c r="C5" s="208"/>
      <c r="D5" s="208"/>
    </row>
    <row r="7" spans="1:4" ht="13.5" thickBot="1"/>
    <row r="8" spans="1:4" ht="16.5">
      <c r="A8" s="234" t="s">
        <v>171</v>
      </c>
      <c r="B8" s="260" t="s">
        <v>362</v>
      </c>
      <c r="C8" s="210" t="s">
        <v>173</v>
      </c>
      <c r="D8" s="211" t="s">
        <v>173</v>
      </c>
    </row>
    <row r="9" spans="1:4" ht="16.5">
      <c r="A9" s="235"/>
      <c r="B9" s="243"/>
      <c r="C9" s="212" t="s">
        <v>174</v>
      </c>
      <c r="D9" s="213" t="s">
        <v>175</v>
      </c>
    </row>
    <row r="10" spans="1:4" ht="27" customHeight="1">
      <c r="A10" s="214"/>
      <c r="B10" s="215" t="s">
        <v>363</v>
      </c>
      <c r="C10" s="46">
        <f>C11+C12+C13+C14+C15+C16+C17</f>
        <v>38903233.572312348</v>
      </c>
      <c r="D10" s="46">
        <f>D11+D12+D13+D14+D15+D16+D17</f>
        <v>56251339</v>
      </c>
    </row>
    <row r="11" spans="1:4" ht="21.2" customHeight="1">
      <c r="A11" s="214">
        <v>1</v>
      </c>
      <c r="B11" s="47" t="s">
        <v>364</v>
      </c>
      <c r="C11" s="48">
        <f>+[1]bilanci!J23+'[6]Garden Line 2010'!$H$27</f>
        <v>386259026.61630005</v>
      </c>
      <c r="D11" s="117">
        <v>155433274</v>
      </c>
    </row>
    <row r="12" spans="1:4" ht="21.2" customHeight="1">
      <c r="A12" s="135">
        <v>2</v>
      </c>
      <c r="B12" s="49" t="s">
        <v>365</v>
      </c>
      <c r="C12" s="48">
        <f>-[1]bilanci!I22-[1]bilanci!I28-[1]bilanci!I29-[1]bilanci!I25+3930489-'[6]Garden Line 2010'!$H$27+37260-4441</f>
        <v>-333574678.7239877</v>
      </c>
      <c r="D12" s="117">
        <v>-83837958</v>
      </c>
    </row>
    <row r="13" spans="1:4" ht="21.2" customHeight="1">
      <c r="A13" s="135">
        <v>3</v>
      </c>
      <c r="B13" s="47" t="s">
        <v>366</v>
      </c>
      <c r="C13" s="48"/>
      <c r="D13" s="117"/>
    </row>
    <row r="14" spans="1:4" ht="18.75" customHeight="1">
      <c r="A14" s="214">
        <v>4</v>
      </c>
      <c r="B14" s="47" t="s">
        <v>367</v>
      </c>
      <c r="C14" s="48"/>
      <c r="D14" s="117"/>
    </row>
    <row r="15" spans="1:4" ht="22.7" customHeight="1">
      <c r="A15" s="214">
        <v>5</v>
      </c>
      <c r="B15" s="47" t="s">
        <v>368</v>
      </c>
      <c r="C15" s="48">
        <f>-[1]bilanci!I61-[1]bilanci!I48-[1]bilanci!I64</f>
        <v>-11668334.32</v>
      </c>
      <c r="D15" s="117">
        <v>-10760520</v>
      </c>
    </row>
    <row r="16" spans="1:4" ht="24.75" customHeight="1">
      <c r="A16" s="214">
        <v>6</v>
      </c>
      <c r="B16" s="47" t="s">
        <v>369</v>
      </c>
      <c r="C16" s="48">
        <f>-[1]bilanci!I26-[1]bilanci!I8</f>
        <v>-2112780</v>
      </c>
      <c r="D16" s="117">
        <v>-4583457</v>
      </c>
    </row>
    <row r="17" spans="1:4" ht="21.75" customHeight="1">
      <c r="A17" s="214">
        <v>7</v>
      </c>
      <c r="B17" s="216" t="s">
        <v>370</v>
      </c>
      <c r="C17" s="48"/>
      <c r="D17" s="117"/>
    </row>
    <row r="18" spans="1:4" ht="20.25" customHeight="1">
      <c r="A18" s="214">
        <v>8</v>
      </c>
      <c r="B18" s="217" t="s">
        <v>371</v>
      </c>
      <c r="C18" s="50">
        <f>+C19+C20+C21+C22+C23+C24</f>
        <v>-58579033.07949999</v>
      </c>
      <c r="D18" s="50">
        <f>+D19+D20+D21+D22+D23+D24</f>
        <v>1378359</v>
      </c>
    </row>
    <row r="19" spans="1:4" ht="21.2" customHeight="1">
      <c r="A19" s="214">
        <v>9</v>
      </c>
      <c r="B19" s="47" t="s">
        <v>372</v>
      </c>
      <c r="C19" s="48"/>
      <c r="D19" s="117"/>
    </row>
    <row r="20" spans="1:4" ht="22.7" customHeight="1">
      <c r="A20" s="214">
        <v>10</v>
      </c>
      <c r="B20" s="216" t="s">
        <v>373</v>
      </c>
      <c r="C20" s="48">
        <f>-[1]bilanci!I15-[1]bilanci!I16</f>
        <v>-58579885.07949999</v>
      </c>
      <c r="D20" s="117">
        <v>-514801</v>
      </c>
    </row>
    <row r="21" spans="1:4" ht="18.75" customHeight="1">
      <c r="A21" s="214">
        <v>11</v>
      </c>
      <c r="B21" s="47" t="s">
        <v>374</v>
      </c>
      <c r="C21" s="48">
        <f>+[1]amort.!C159</f>
        <v>0</v>
      </c>
      <c r="D21" s="117">
        <v>1438500</v>
      </c>
    </row>
    <row r="22" spans="1:4" ht="22.7" customHeight="1">
      <c r="A22" s="214">
        <v>12</v>
      </c>
      <c r="B22" s="47" t="s">
        <v>375</v>
      </c>
      <c r="C22" s="48">
        <f>+[1]bilanci!J44</f>
        <v>852</v>
      </c>
      <c r="D22" s="117">
        <v>454660</v>
      </c>
    </row>
    <row r="23" spans="1:4" ht="21.75" customHeight="1">
      <c r="A23" s="214">
        <v>13</v>
      </c>
      <c r="B23" s="47" t="s">
        <v>376</v>
      </c>
      <c r="C23" s="48"/>
      <c r="D23" s="117"/>
    </row>
    <row r="24" spans="1:4" ht="23.25" customHeight="1">
      <c r="A24" s="214">
        <v>14</v>
      </c>
      <c r="B24" s="52" t="s">
        <v>377</v>
      </c>
      <c r="C24" s="48"/>
      <c r="D24" s="117"/>
    </row>
    <row r="25" spans="1:4" ht="21.2" customHeight="1">
      <c r="A25" s="214">
        <v>15</v>
      </c>
      <c r="B25" s="217" t="s">
        <v>378</v>
      </c>
      <c r="C25" s="50">
        <f>+C26+C27+C28+C29+C30</f>
        <v>-15974916.372000001</v>
      </c>
      <c r="D25" s="113">
        <f>+D26+D27+D28+D29+D30</f>
        <v>-56855433</v>
      </c>
    </row>
    <row r="26" spans="1:4" ht="21.75" customHeight="1">
      <c r="A26" s="214">
        <v>16</v>
      </c>
      <c r="B26" s="216" t="s">
        <v>379</v>
      </c>
      <c r="C26" s="48"/>
      <c r="D26" s="117"/>
    </row>
    <row r="27" spans="1:4" ht="22.7" customHeight="1">
      <c r="A27" s="214">
        <v>17</v>
      </c>
      <c r="B27" s="47" t="s">
        <v>380</v>
      </c>
      <c r="C27" s="48"/>
      <c r="D27" s="117"/>
    </row>
    <row r="28" spans="1:4" ht="24" customHeight="1">
      <c r="A28" s="214">
        <v>18</v>
      </c>
      <c r="B28" s="47" t="s">
        <v>381</v>
      </c>
      <c r="C28" s="48">
        <f>-[1]bilanci!I11-[1]bilanci!I31-[1]bilanci!I33</f>
        <v>-15974916.372000001</v>
      </c>
      <c r="D28" s="117">
        <v>-56855433</v>
      </c>
    </row>
    <row r="29" spans="1:4" ht="22.7" customHeight="1">
      <c r="A29" s="214">
        <v>19</v>
      </c>
      <c r="B29" s="47" t="s">
        <v>382</v>
      </c>
      <c r="C29" s="48"/>
      <c r="D29" s="117"/>
    </row>
    <row r="30" spans="1:4" ht="24.75" customHeight="1">
      <c r="A30" s="214">
        <v>20</v>
      </c>
      <c r="B30" s="52" t="s">
        <v>383</v>
      </c>
      <c r="C30" s="48"/>
      <c r="D30" s="117"/>
    </row>
    <row r="31" spans="1:4" ht="24.75" customHeight="1">
      <c r="A31" s="214">
        <v>21</v>
      </c>
      <c r="B31" s="218" t="s">
        <v>384</v>
      </c>
      <c r="C31" s="168">
        <f>+C33-C32</f>
        <v>496244.32629989367</v>
      </c>
      <c r="D31" s="168">
        <v>774266</v>
      </c>
    </row>
    <row r="32" spans="1:4" ht="24.75" customHeight="1">
      <c r="A32" s="214">
        <v>22</v>
      </c>
      <c r="B32" s="218" t="s">
        <v>385</v>
      </c>
      <c r="C32" s="163">
        <f>+D33</f>
        <v>3626672</v>
      </c>
      <c r="D32" s="219">
        <v>2852406</v>
      </c>
    </row>
    <row r="33" spans="1:4" ht="24.75" customHeight="1">
      <c r="A33" s="214">
        <v>23</v>
      </c>
      <c r="B33" s="218" t="s">
        <v>386</v>
      </c>
      <c r="C33" s="168">
        <f>+[1]bilanci!K35+[1]bilanci!K32+[1]bilanci!K33</f>
        <v>4122916.3262998937</v>
      </c>
      <c r="D33" s="220">
        <v>3626672</v>
      </c>
    </row>
    <row r="34" spans="1:4" ht="24.75" customHeight="1" thickBot="1">
      <c r="A34" s="221"/>
      <c r="B34" s="222"/>
      <c r="C34" s="223"/>
      <c r="D34" s="146"/>
    </row>
    <row r="35" spans="1:4" ht="16.5">
      <c r="A35" s="40"/>
      <c r="B35" s="224"/>
      <c r="C35" s="164"/>
      <c r="D35" s="164"/>
    </row>
    <row r="36" spans="1:4" ht="16.5">
      <c r="A36" s="37"/>
      <c r="B36" s="224"/>
      <c r="C36" s="225"/>
      <c r="D36" s="164"/>
    </row>
    <row r="37" spans="1:4" ht="16.5">
      <c r="A37" s="41"/>
      <c r="B37" s="224"/>
      <c r="C37" s="224"/>
      <c r="D37" s="164"/>
    </row>
    <row r="38" spans="1:4" ht="16.5">
      <c r="A38" s="41"/>
      <c r="B38" s="60"/>
      <c r="C38" s="164"/>
      <c r="D38" s="164"/>
    </row>
    <row r="39" spans="1:4" ht="16.5">
      <c r="A39" s="41"/>
      <c r="B39" s="60"/>
      <c r="C39" s="164"/>
      <c r="D39" s="164"/>
    </row>
    <row r="40" spans="1:4" ht="16.5">
      <c r="A40" s="40"/>
      <c r="B40" s="60"/>
      <c r="C40" s="164"/>
      <c r="D40" s="164"/>
    </row>
    <row r="41" spans="1:4" ht="16.5">
      <c r="A41" s="41"/>
      <c r="B41" s="60"/>
      <c r="C41" s="164"/>
      <c r="D41" s="164"/>
    </row>
  </sheetData>
  <mergeCells count="3">
    <mergeCell ref="A4:D4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aktiva</vt:lpstr>
      <vt:lpstr>pasivi</vt:lpstr>
      <vt:lpstr>ardh-shpnat</vt:lpstr>
      <vt:lpstr>ardh-shp</vt:lpstr>
      <vt:lpstr>amort</vt:lpstr>
      <vt:lpstr>kapitali</vt:lpstr>
      <vt:lpstr>kopertina</vt:lpstr>
      <vt:lpstr>fluksi parave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Titi</cp:lastModifiedBy>
  <cp:lastPrinted>2012-03-30T09:59:07Z</cp:lastPrinted>
  <dcterms:created xsi:type="dcterms:W3CDTF">2012-03-07T13:03:47Z</dcterms:created>
  <dcterms:modified xsi:type="dcterms:W3CDTF">2012-03-30T10:16:12Z</dcterms:modified>
</cp:coreProperties>
</file>