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6945" tabRatio="845" activeTab="10"/>
  </bookViews>
  <sheets>
    <sheet name="kopertina" sheetId="23" r:id="rId1"/>
    <sheet name="aktiv" sheetId="1" r:id="rId2"/>
    <sheet name="pasivi" sheetId="2" r:id="rId3"/>
    <sheet name="ardh nat" sheetId="3" r:id="rId4"/>
    <sheet name="nd kap" sheetId="5" r:id="rId5"/>
    <sheet name="fluk.m.d" sheetId="12" r:id="rId6"/>
    <sheet name="AAM12" sheetId="16" r:id="rId7"/>
    <sheet name="P2" sheetId="17" r:id="rId8"/>
    <sheet name="P1" sheetId="18" r:id="rId9"/>
    <sheet name="Shp.tjera" sheetId="15" r:id="rId10"/>
    <sheet name="amort" sheetId="19" r:id="rId11"/>
    <sheet name="shpjegus" sheetId="20" r:id="rId12"/>
    <sheet name="shpjegime" sheetId="21" r:id="rId13"/>
    <sheet name="Sheet9" sheetId="22" r:id="rId14"/>
    <sheet name="bilanci konsol.akt" sheetId="6" r:id="rId15"/>
    <sheet name="bil.koss pasiv" sheetId="7" r:id="rId16"/>
    <sheet name="ardh nat kons " sheetId="4" r:id="rId17"/>
    <sheet name=" fluk.par.kons" sheetId="8" r:id="rId18"/>
    <sheet name="nd kap kosova " sheetId="9" r:id="rId19"/>
    <sheet name="akt-apsnkosova" sheetId="10" r:id="rId20"/>
    <sheet name="pash kosova " sheetId="11" r:id="rId21"/>
    <sheet name="fluks.parave kosova" sheetId="13" r:id="rId22"/>
    <sheet name="Sheet1" sheetId="14" r:id="rId23"/>
    <sheet name="Sheet2" sheetId="24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25725"/>
</workbook>
</file>

<file path=xl/calcChain.xml><?xml version="1.0" encoding="utf-8"?>
<calcChain xmlns="http://schemas.openxmlformats.org/spreadsheetml/2006/main">
  <c r="H24" i="21"/>
  <c r="H20"/>
  <c r="H19"/>
  <c r="I176" i="19"/>
  <c r="K176" s="1"/>
  <c r="G176"/>
  <c r="F175"/>
  <c r="G175" s="1"/>
  <c r="I175" s="1"/>
  <c r="K175" s="1"/>
  <c r="F174"/>
  <c r="G174" s="1"/>
  <c r="I174" s="1"/>
  <c r="K174" s="1"/>
  <c r="F173"/>
  <c r="G173" s="1"/>
  <c r="I173" s="1"/>
  <c r="K173" s="1"/>
  <c r="F172"/>
  <c r="G172" s="1"/>
  <c r="I172" s="1"/>
  <c r="K172" s="1"/>
  <c r="F171"/>
  <c r="G171" s="1"/>
  <c r="I171" s="1"/>
  <c r="K171" s="1"/>
  <c r="F170"/>
  <c r="G170" s="1"/>
  <c r="I170" s="1"/>
  <c r="G169"/>
  <c r="I169" s="1"/>
  <c r="I168"/>
  <c r="K168" s="1"/>
  <c r="G168"/>
  <c r="G167"/>
  <c r="I167" s="1"/>
  <c r="K167" s="1"/>
  <c r="I166"/>
  <c r="K166" s="1"/>
  <c r="G166"/>
  <c r="G165"/>
  <c r="I165" s="1"/>
  <c r="K165" s="1"/>
  <c r="F164"/>
  <c r="G164" s="1"/>
  <c r="I164" s="1"/>
  <c r="K164" s="1"/>
  <c r="I163"/>
  <c r="K163" s="1"/>
  <c r="G163"/>
  <c r="G162"/>
  <c r="I162" s="1"/>
  <c r="K162" s="1"/>
  <c r="I161"/>
  <c r="K161" s="1"/>
  <c r="G161"/>
  <c r="F160"/>
  <c r="G160" s="1"/>
  <c r="I160" s="1"/>
  <c r="K160" s="1"/>
  <c r="G159"/>
  <c r="I159" s="1"/>
  <c r="K159" s="1"/>
  <c r="I158"/>
  <c r="K158" s="1"/>
  <c r="I157"/>
  <c r="K157" s="1"/>
  <c r="I156"/>
  <c r="K156" s="1"/>
  <c r="G156"/>
  <c r="F156"/>
  <c r="I155"/>
  <c r="K155" s="1"/>
  <c r="F154"/>
  <c r="G154" s="1"/>
  <c r="I154" s="1"/>
  <c r="K154" s="1"/>
  <c r="F153"/>
  <c r="G153" s="1"/>
  <c r="I153" s="1"/>
  <c r="K153" s="1"/>
  <c r="F152"/>
  <c r="G152" s="1"/>
  <c r="I152" s="1"/>
  <c r="K152" s="1"/>
  <c r="F151"/>
  <c r="G151" s="1"/>
  <c r="I151" s="1"/>
  <c r="K151" s="1"/>
  <c r="F150"/>
  <c r="G150" s="1"/>
  <c r="I150" s="1"/>
  <c r="K150" s="1"/>
  <c r="I149"/>
  <c r="K149" s="1"/>
  <c r="G149"/>
  <c r="G148"/>
  <c r="I148" s="1"/>
  <c r="K148" s="1"/>
  <c r="I147"/>
  <c r="K147" s="1"/>
  <c r="G147"/>
  <c r="K146"/>
  <c r="I146"/>
  <c r="G145"/>
  <c r="I145" s="1"/>
  <c r="K145" s="1"/>
  <c r="I144"/>
  <c r="K144" s="1"/>
  <c r="G144"/>
  <c r="G143"/>
  <c r="I143" s="1"/>
  <c r="K143" s="1"/>
  <c r="I142"/>
  <c r="K142" s="1"/>
  <c r="G142"/>
  <c r="G141"/>
  <c r="I141" s="1"/>
  <c r="K141" s="1"/>
  <c r="I140"/>
  <c r="K140" s="1"/>
  <c r="G140"/>
  <c r="H139"/>
  <c r="H177" s="1"/>
  <c r="F139"/>
  <c r="G139" s="1"/>
  <c r="I139" s="1"/>
  <c r="K139" s="1"/>
  <c r="I138"/>
  <c r="K138" s="1"/>
  <c r="G138"/>
  <c r="G137"/>
  <c r="I137" s="1"/>
  <c r="K137" s="1"/>
  <c r="I136"/>
  <c r="K136" s="1"/>
  <c r="G136"/>
  <c r="G135"/>
  <c r="I135" s="1"/>
  <c r="K135" s="1"/>
  <c r="I134"/>
  <c r="K134" s="1"/>
  <c r="G134"/>
  <c r="G133"/>
  <c r="I133" s="1"/>
  <c r="K133" s="1"/>
  <c r="F133"/>
  <c r="G132"/>
  <c r="I132" s="1"/>
  <c r="K132" s="1"/>
  <c r="I131"/>
  <c r="K131" s="1"/>
  <c r="G131"/>
  <c r="G130"/>
  <c r="I130" s="1"/>
  <c r="K130" s="1"/>
  <c r="I129"/>
  <c r="K129" s="1"/>
  <c r="G129"/>
  <c r="G128"/>
  <c r="I128" s="1"/>
  <c r="K128" s="1"/>
  <c r="I127"/>
  <c r="K127" s="1"/>
  <c r="G127"/>
  <c r="G126"/>
  <c r="I126" s="1"/>
  <c r="K126" s="1"/>
  <c r="F126"/>
  <c r="G125"/>
  <c r="I125" s="1"/>
  <c r="K125" s="1"/>
  <c r="F125"/>
  <c r="G124"/>
  <c r="I124" s="1"/>
  <c r="K124" s="1"/>
  <c r="I123"/>
  <c r="K123" s="1"/>
  <c r="G123"/>
  <c r="G122"/>
  <c r="I122" s="1"/>
  <c r="K122" s="1"/>
  <c r="I121"/>
  <c r="K121" s="1"/>
  <c r="G121"/>
  <c r="G120"/>
  <c r="I120" s="1"/>
  <c r="K120" s="1"/>
  <c r="F119"/>
  <c r="G119" s="1"/>
  <c r="I119" s="1"/>
  <c r="K119" s="1"/>
  <c r="I118"/>
  <c r="K118" s="1"/>
  <c r="G118"/>
  <c r="G117"/>
  <c r="I117" s="1"/>
  <c r="K117" s="1"/>
  <c r="I116"/>
  <c r="K116" s="1"/>
  <c r="G116"/>
  <c r="G115"/>
  <c r="I115" s="1"/>
  <c r="K115" s="1"/>
  <c r="I114"/>
  <c r="K114" s="1"/>
  <c r="G114"/>
  <c r="G113"/>
  <c r="I113" s="1"/>
  <c r="K113" s="1"/>
  <c r="I112"/>
  <c r="K112" s="1"/>
  <c r="G112"/>
  <c r="G111"/>
  <c r="I111" s="1"/>
  <c r="K111" s="1"/>
  <c r="I110"/>
  <c r="K110" s="1"/>
  <c r="G110"/>
  <c r="G109"/>
  <c r="I109" s="1"/>
  <c r="K109" s="1"/>
  <c r="I108"/>
  <c r="K108" s="1"/>
  <c r="G108"/>
  <c r="G107"/>
  <c r="I107" s="1"/>
  <c r="K107" s="1"/>
  <c r="I106"/>
  <c r="K106" s="1"/>
  <c r="G106"/>
  <c r="G105"/>
  <c r="I105" s="1"/>
  <c r="K105" s="1"/>
  <c r="I104"/>
  <c r="K104" s="1"/>
  <c r="G104"/>
  <c r="G103"/>
  <c r="I103" s="1"/>
  <c r="K103" s="1"/>
  <c r="I102"/>
  <c r="K102" s="1"/>
  <c r="G102"/>
  <c r="G101"/>
  <c r="I101" s="1"/>
  <c r="K101" s="1"/>
  <c r="I100"/>
  <c r="K100" s="1"/>
  <c r="G100"/>
  <c r="G99"/>
  <c r="I99" s="1"/>
  <c r="K99" s="1"/>
  <c r="I98"/>
  <c r="K98" s="1"/>
  <c r="G98"/>
  <c r="G97"/>
  <c r="I97" s="1"/>
  <c r="K97" s="1"/>
  <c r="F97"/>
  <c r="G96"/>
  <c r="I96" s="1"/>
  <c r="K96" s="1"/>
  <c r="F96"/>
  <c r="G95"/>
  <c r="I95" s="1"/>
  <c r="K95" s="1"/>
  <c r="F95"/>
  <c r="G94"/>
  <c r="I94" s="1"/>
  <c r="K94" s="1"/>
  <c r="F93"/>
  <c r="G93" s="1"/>
  <c r="I93" s="1"/>
  <c r="K93" s="1"/>
  <c r="C93"/>
  <c r="B93"/>
  <c r="F92"/>
  <c r="G92" s="1"/>
  <c r="I92" s="1"/>
  <c r="K92" s="1"/>
  <c r="B92"/>
  <c r="F91"/>
  <c r="G91" s="1"/>
  <c r="I91" s="1"/>
  <c r="K91" s="1"/>
  <c r="C91"/>
  <c r="B91"/>
  <c r="F90"/>
  <c r="G90" s="1"/>
  <c r="I90" s="1"/>
  <c r="K90" s="1"/>
  <c r="B90"/>
  <c r="F89"/>
  <c r="G89" s="1"/>
  <c r="I89" s="1"/>
  <c r="K89" s="1"/>
  <c r="C89"/>
  <c r="B89"/>
  <c r="G88"/>
  <c r="I88" s="1"/>
  <c r="K88" s="1"/>
  <c r="F88"/>
  <c r="B88"/>
  <c r="G87"/>
  <c r="I87" s="1"/>
  <c r="K87" s="1"/>
  <c r="B87"/>
  <c r="G86"/>
  <c r="I86" s="1"/>
  <c r="K86" s="1"/>
  <c r="B86"/>
  <c r="G85"/>
  <c r="I85" s="1"/>
  <c r="K85" s="1"/>
  <c r="B85"/>
  <c r="G84"/>
  <c r="I84" s="1"/>
  <c r="K84" s="1"/>
  <c r="C84"/>
  <c r="B84"/>
  <c r="G83"/>
  <c r="I83" s="1"/>
  <c r="K83" s="1"/>
  <c r="C83"/>
  <c r="B83"/>
  <c r="G82"/>
  <c r="I82" s="1"/>
  <c r="K82" s="1"/>
  <c r="C82"/>
  <c r="B82"/>
  <c r="K81"/>
  <c r="I81"/>
  <c r="F81"/>
  <c r="C81"/>
  <c r="B81"/>
  <c r="G80"/>
  <c r="I80" s="1"/>
  <c r="K80" s="1"/>
  <c r="B80"/>
  <c r="G79"/>
  <c r="I79" s="1"/>
  <c r="K79" s="1"/>
  <c r="C79"/>
  <c r="B79"/>
  <c r="G78"/>
  <c r="I78" s="1"/>
  <c r="K78" s="1"/>
  <c r="C78"/>
  <c r="B78"/>
  <c r="G77"/>
  <c r="I77" s="1"/>
  <c r="K77" s="1"/>
  <c r="C77"/>
  <c r="B77"/>
  <c r="G76"/>
  <c r="I76" s="1"/>
  <c r="K76" s="1"/>
  <c r="C76"/>
  <c r="B76"/>
  <c r="G75"/>
  <c r="I75" s="1"/>
  <c r="K75" s="1"/>
  <c r="C75"/>
  <c r="B75"/>
  <c r="G74"/>
  <c r="I74" s="1"/>
  <c r="K74" s="1"/>
  <c r="C74"/>
  <c r="B74"/>
  <c r="G73"/>
  <c r="I73" s="1"/>
  <c r="K73" s="1"/>
  <c r="C73"/>
  <c r="B73"/>
  <c r="G72"/>
  <c r="I72" s="1"/>
  <c r="K72" s="1"/>
  <c r="C72"/>
  <c r="B72"/>
  <c r="G71"/>
  <c r="I71" s="1"/>
  <c r="K71" s="1"/>
  <c r="B71"/>
  <c r="G70"/>
  <c r="I70" s="1"/>
  <c r="K70" s="1"/>
  <c r="G69"/>
  <c r="I69" s="1"/>
  <c r="K69" s="1"/>
  <c r="G68"/>
  <c r="I68" s="1"/>
  <c r="K68" s="1"/>
  <c r="G67"/>
  <c r="I67" s="1"/>
  <c r="K67" s="1"/>
  <c r="G66"/>
  <c r="I66" s="1"/>
  <c r="K66" s="1"/>
  <c r="G65"/>
  <c r="I65" s="1"/>
  <c r="K65" s="1"/>
  <c r="G64"/>
  <c r="I64" s="1"/>
  <c r="K64" s="1"/>
  <c r="G63"/>
  <c r="I63" s="1"/>
  <c r="K63" s="1"/>
  <c r="G62"/>
  <c r="I62" s="1"/>
  <c r="K62" s="1"/>
  <c r="G61"/>
  <c r="I61" s="1"/>
  <c r="K61" s="1"/>
  <c r="G60"/>
  <c r="I60" s="1"/>
  <c r="K60" s="1"/>
  <c r="G59"/>
  <c r="I59" s="1"/>
  <c r="K59" s="1"/>
  <c r="G58"/>
  <c r="I58" s="1"/>
  <c r="K58" s="1"/>
  <c r="I57"/>
  <c r="K57" s="1"/>
  <c r="F57"/>
  <c r="K56"/>
  <c r="I56"/>
  <c r="F56"/>
  <c r="I55"/>
  <c r="K55" s="1"/>
  <c r="F55"/>
  <c r="K54"/>
  <c r="I54"/>
  <c r="F54"/>
  <c r="I53"/>
  <c r="K53" s="1"/>
  <c r="F53"/>
  <c r="K52"/>
  <c r="I52"/>
  <c r="F52"/>
  <c r="G51"/>
  <c r="I51" s="1"/>
  <c r="K51" s="1"/>
  <c r="G50"/>
  <c r="I50" s="1"/>
  <c r="K50" s="1"/>
  <c r="G49"/>
  <c r="I49" s="1"/>
  <c r="K49" s="1"/>
  <c r="G48"/>
  <c r="I48" s="1"/>
  <c r="K48" s="1"/>
  <c r="G47"/>
  <c r="I47" s="1"/>
  <c r="K47" s="1"/>
  <c r="C47"/>
  <c r="B47"/>
  <c r="G46"/>
  <c r="I46" s="1"/>
  <c r="K46" s="1"/>
  <c r="C46"/>
  <c r="B46"/>
  <c r="G45"/>
  <c r="I45" s="1"/>
  <c r="K45" s="1"/>
  <c r="C45"/>
  <c r="B45"/>
  <c r="G44"/>
  <c r="I44" s="1"/>
  <c r="K44" s="1"/>
  <c r="C44"/>
  <c r="B44"/>
  <c r="G43"/>
  <c r="I43" s="1"/>
  <c r="K43" s="1"/>
  <c r="C43"/>
  <c r="B43"/>
  <c r="G42"/>
  <c r="I42" s="1"/>
  <c r="K42" s="1"/>
  <c r="C42"/>
  <c r="B42"/>
  <c r="G41"/>
  <c r="I41" s="1"/>
  <c r="K41" s="1"/>
  <c r="C41"/>
  <c r="B41"/>
  <c r="G40"/>
  <c r="I40" s="1"/>
  <c r="K40" s="1"/>
  <c r="B40"/>
  <c r="G39"/>
  <c r="I39" s="1"/>
  <c r="K39" s="1"/>
  <c r="B39"/>
  <c r="G38"/>
  <c r="I38" s="1"/>
  <c r="K38" s="1"/>
  <c r="B38"/>
  <c r="G37"/>
  <c r="I37" s="1"/>
  <c r="K37" s="1"/>
  <c r="B37"/>
  <c r="G36"/>
  <c r="I36" s="1"/>
  <c r="K36" s="1"/>
  <c r="E36"/>
  <c r="C36"/>
  <c r="B36"/>
  <c r="G35"/>
  <c r="I35" s="1"/>
  <c r="K35" s="1"/>
  <c r="C35"/>
  <c r="B35"/>
  <c r="G34"/>
  <c r="I34" s="1"/>
  <c r="K34" s="1"/>
  <c r="E34"/>
  <c r="B34"/>
  <c r="G33"/>
  <c r="I33" s="1"/>
  <c r="K33" s="1"/>
  <c r="B33"/>
  <c r="I32"/>
  <c r="K32" s="1"/>
  <c r="F32"/>
  <c r="C32"/>
  <c r="B32"/>
  <c r="G31"/>
  <c r="I31" s="1"/>
  <c r="K31" s="1"/>
  <c r="I30"/>
  <c r="K30" s="1"/>
  <c r="G30"/>
  <c r="G29"/>
  <c r="I29" s="1"/>
  <c r="K29" s="1"/>
  <c r="I28"/>
  <c r="K28" s="1"/>
  <c r="G28"/>
  <c r="G27"/>
  <c r="I27" s="1"/>
  <c r="K27" s="1"/>
  <c r="I26"/>
  <c r="K26" s="1"/>
  <c r="G26"/>
  <c r="G25"/>
  <c r="I25" s="1"/>
  <c r="K25" s="1"/>
  <c r="I24"/>
  <c r="K24" s="1"/>
  <c r="G24"/>
  <c r="G23"/>
  <c r="I23" s="1"/>
  <c r="K23" s="1"/>
  <c r="I22"/>
  <c r="K22" s="1"/>
  <c r="G22"/>
  <c r="G21"/>
  <c r="I21" s="1"/>
  <c r="K21" s="1"/>
  <c r="I20"/>
  <c r="K20" s="1"/>
  <c r="G20"/>
  <c r="G19"/>
  <c r="I19" s="1"/>
  <c r="K19" s="1"/>
  <c r="I18"/>
  <c r="K18" s="1"/>
  <c r="G18"/>
  <c r="G17"/>
  <c r="I17" s="1"/>
  <c r="K17" s="1"/>
  <c r="I16"/>
  <c r="K16" s="1"/>
  <c r="G16"/>
  <c r="G15"/>
  <c r="I15" s="1"/>
  <c r="K15" s="1"/>
  <c r="I14"/>
  <c r="K14" s="1"/>
  <c r="G14"/>
  <c r="G13"/>
  <c r="I13" s="1"/>
  <c r="K13" s="1"/>
  <c r="I12"/>
  <c r="K12" s="1"/>
  <c r="G12"/>
  <c r="G11"/>
  <c r="I11" s="1"/>
  <c r="K11" s="1"/>
  <c r="I10"/>
  <c r="K10" s="1"/>
  <c r="G10"/>
  <c r="G9"/>
  <c r="I9" s="1"/>
  <c r="K9" s="1"/>
  <c r="I8"/>
  <c r="K8" s="1"/>
  <c r="G8"/>
  <c r="K6"/>
  <c r="I6"/>
  <c r="D31" i="15"/>
  <c r="D30"/>
  <c r="D29"/>
  <c r="D27"/>
  <c r="D26"/>
  <c r="D25"/>
  <c r="D24"/>
  <c r="D22"/>
  <c r="D21"/>
  <c r="D20"/>
  <c r="D19"/>
  <c r="D18"/>
  <c r="C18"/>
  <c r="D17"/>
  <c r="D16"/>
  <c r="D15"/>
  <c r="D14"/>
  <c r="D9"/>
  <c r="D8"/>
  <c r="D7"/>
  <c r="E27" i="18"/>
  <c r="E26"/>
  <c r="F23"/>
  <c r="E23"/>
  <c r="H20"/>
  <c r="H19"/>
  <c r="F16"/>
  <c r="E16"/>
  <c r="F11"/>
  <c r="F28" s="1"/>
  <c r="E11"/>
  <c r="E28" s="1"/>
  <c r="E49" i="17"/>
  <c r="E48"/>
  <c r="F47"/>
  <c r="F41"/>
  <c r="E41"/>
  <c r="F39"/>
  <c r="E39"/>
  <c r="F38"/>
  <c r="E38"/>
  <c r="F37"/>
  <c r="E37"/>
  <c r="F36"/>
  <c r="E36"/>
  <c r="F35"/>
  <c r="E35"/>
  <c r="F34"/>
  <c r="E34"/>
  <c r="F33"/>
  <c r="F30"/>
  <c r="F29"/>
  <c r="E29"/>
  <c r="F28"/>
  <c r="E28"/>
  <c r="F27"/>
  <c r="E27"/>
  <c r="F26"/>
  <c r="E26"/>
  <c r="F24"/>
  <c r="E24"/>
  <c r="F21"/>
  <c r="E21"/>
  <c r="F20"/>
  <c r="E20"/>
  <c r="E18"/>
  <c r="E15"/>
  <c r="F14"/>
  <c r="E14"/>
  <c r="E13" s="1"/>
  <c r="F9"/>
  <c r="E9"/>
  <c r="F8"/>
  <c r="E8"/>
  <c r="F7"/>
  <c r="E7"/>
  <c r="D33" i="1"/>
  <c r="G48" i="16"/>
  <c r="D43"/>
  <c r="G43" s="1"/>
  <c r="G41"/>
  <c r="G33"/>
  <c r="D32"/>
  <c r="D31"/>
  <c r="D30"/>
  <c r="F29"/>
  <c r="D29"/>
  <c r="E28"/>
  <c r="D28"/>
  <c r="G27"/>
  <c r="G18"/>
  <c r="G17"/>
  <c r="G16"/>
  <c r="E15"/>
  <c r="E47" s="1"/>
  <c r="E14"/>
  <c r="E46" s="1"/>
  <c r="E13"/>
  <c r="E45" s="1"/>
  <c r="F12"/>
  <c r="E12"/>
  <c r="E44" s="1"/>
  <c r="G11"/>
  <c r="E10"/>
  <c r="E42" s="1"/>
  <c r="D10"/>
  <c r="G9"/>
  <c r="D28" i="8"/>
  <c r="C33" i="12"/>
  <c r="C31" s="1"/>
  <c r="C32"/>
  <c r="D31"/>
  <c r="C28"/>
  <c r="D25"/>
  <c r="C25"/>
  <c r="C22"/>
  <c r="C21"/>
  <c r="C20"/>
  <c r="C17" i="8" s="1"/>
  <c r="E17" s="1"/>
  <c r="D18" i="12"/>
  <c r="C16"/>
  <c r="C13" i="8" s="1"/>
  <c r="E13" s="1"/>
  <c r="C15" i="12"/>
  <c r="D10"/>
  <c r="F45" i="13"/>
  <c r="F47" s="1"/>
  <c r="J44"/>
  <c r="H44"/>
  <c r="C44"/>
  <c r="J43"/>
  <c r="J42"/>
  <c r="H42"/>
  <c r="J41"/>
  <c r="H41"/>
  <c r="C41"/>
  <c r="J40"/>
  <c r="H40"/>
  <c r="J39"/>
  <c r="H39"/>
  <c r="J38"/>
  <c r="H38"/>
  <c r="J37"/>
  <c r="H37"/>
  <c r="J36"/>
  <c r="H36"/>
  <c r="J35"/>
  <c r="H35"/>
  <c r="J34"/>
  <c r="C34"/>
  <c r="H34" s="1"/>
  <c r="J33"/>
  <c r="H33"/>
  <c r="J32"/>
  <c r="H32"/>
  <c r="J31"/>
  <c r="H31"/>
  <c r="J30"/>
  <c r="H30"/>
  <c r="J29"/>
  <c r="H29"/>
  <c r="J28"/>
  <c r="H28"/>
  <c r="J27"/>
  <c r="H27"/>
  <c r="J25"/>
  <c r="H25"/>
  <c r="J24"/>
  <c r="H24"/>
  <c r="F23"/>
  <c r="F26" s="1"/>
  <c r="J26" s="1"/>
  <c r="E23"/>
  <c r="E26" s="1"/>
  <c r="E43" s="1"/>
  <c r="E45" s="1"/>
  <c r="D23"/>
  <c r="D26" s="1"/>
  <c r="D43" s="1"/>
  <c r="D45" s="1"/>
  <c r="J22"/>
  <c r="C22"/>
  <c r="H22" s="1"/>
  <c r="J21"/>
  <c r="C21"/>
  <c r="H21" s="1"/>
  <c r="J20"/>
  <c r="H20"/>
  <c r="C20"/>
  <c r="J19"/>
  <c r="C19"/>
  <c r="H19" s="1"/>
  <c r="J18"/>
  <c r="H18"/>
  <c r="J17"/>
  <c r="H17"/>
  <c r="J16"/>
  <c r="H16"/>
  <c r="J15"/>
  <c r="H15"/>
  <c r="J14"/>
  <c r="H14"/>
  <c r="J13"/>
  <c r="H13"/>
  <c r="C13"/>
  <c r="C23" s="1"/>
  <c r="K52" i="11"/>
  <c r="K51"/>
  <c r="I51"/>
  <c r="K50"/>
  <c r="K49"/>
  <c r="I49"/>
  <c r="K48"/>
  <c r="K47"/>
  <c r="I47"/>
  <c r="K46"/>
  <c r="D46"/>
  <c r="I46" s="1"/>
  <c r="K45"/>
  <c r="I45"/>
  <c r="K44"/>
  <c r="K43"/>
  <c r="I43"/>
  <c r="K42"/>
  <c r="I42"/>
  <c r="K41"/>
  <c r="I41"/>
  <c r="K40"/>
  <c r="I40"/>
  <c r="K38"/>
  <c r="I38"/>
  <c r="K37"/>
  <c r="K36"/>
  <c r="I36"/>
  <c r="K35"/>
  <c r="I35"/>
  <c r="K33"/>
  <c r="I33"/>
  <c r="G32"/>
  <c r="K32" s="1"/>
  <c r="K31"/>
  <c r="I31"/>
  <c r="D31"/>
  <c r="K30"/>
  <c r="I30"/>
  <c r="K29"/>
  <c r="D29"/>
  <c r="D32" s="1"/>
  <c r="I32" s="1"/>
  <c r="K28"/>
  <c r="I28"/>
  <c r="K27"/>
  <c r="I27"/>
  <c r="K26"/>
  <c r="I26"/>
  <c r="K25"/>
  <c r="I25"/>
  <c r="K24"/>
  <c r="I24"/>
  <c r="G23"/>
  <c r="G34" s="1"/>
  <c r="K22"/>
  <c r="I22"/>
  <c r="K21"/>
  <c r="I21"/>
  <c r="K20"/>
  <c r="I20"/>
  <c r="K19"/>
  <c r="I19"/>
  <c r="D19"/>
  <c r="K18"/>
  <c r="F18"/>
  <c r="F23" s="1"/>
  <c r="F34" s="1"/>
  <c r="F39" s="1"/>
  <c r="E18"/>
  <c r="E23" s="1"/>
  <c r="E34" s="1"/>
  <c r="E39" s="1"/>
  <c r="D18"/>
  <c r="D23" s="1"/>
  <c r="K17"/>
  <c r="I17"/>
  <c r="D17"/>
  <c r="K16"/>
  <c r="D16"/>
  <c r="I16" s="1"/>
  <c r="K15"/>
  <c r="I15"/>
  <c r="K14"/>
  <c r="I14"/>
  <c r="K13"/>
  <c r="I13"/>
  <c r="K12"/>
  <c r="I12"/>
  <c r="D12"/>
  <c r="N17" i="10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N16"/>
  <c r="L16"/>
  <c r="K16"/>
  <c r="H102"/>
  <c r="G102"/>
  <c r="E101"/>
  <c r="E100"/>
  <c r="E102" s="1"/>
  <c r="K102" s="1"/>
  <c r="H79"/>
  <c r="H90" s="1"/>
  <c r="H104" s="1"/>
  <c r="G79"/>
  <c r="G90" s="1"/>
  <c r="G104" s="1"/>
  <c r="I75"/>
  <c r="E75"/>
  <c r="I74"/>
  <c r="E73"/>
  <c r="E79" s="1"/>
  <c r="H60"/>
  <c r="E60"/>
  <c r="H51"/>
  <c r="G51"/>
  <c r="G60" s="1"/>
  <c r="E51"/>
  <c r="I37"/>
  <c r="H36"/>
  <c r="H62" s="1"/>
  <c r="H106" s="1"/>
  <c r="E27"/>
  <c r="K27" s="1"/>
  <c r="I26"/>
  <c r="I25"/>
  <c r="I24"/>
  <c r="E23"/>
  <c r="E22"/>
  <c r="I22" s="1"/>
  <c r="G19"/>
  <c r="G36" s="1"/>
  <c r="F19"/>
  <c r="E16"/>
  <c r="E36" s="1"/>
  <c r="E62" s="1"/>
  <c r="I29" i="9"/>
  <c r="I30"/>
  <c r="I31"/>
  <c r="K21"/>
  <c r="K23"/>
  <c r="K24"/>
  <c r="K25"/>
  <c r="K27"/>
  <c r="K28"/>
  <c r="K29"/>
  <c r="K30"/>
  <c r="K31"/>
  <c r="I21"/>
  <c r="I23"/>
  <c r="I24"/>
  <c r="I25"/>
  <c r="I27"/>
  <c r="I28"/>
  <c r="I20"/>
  <c r="E32"/>
  <c r="D32"/>
  <c r="C32"/>
  <c r="B32"/>
  <c r="G31"/>
  <c r="G30"/>
  <c r="G29"/>
  <c r="F28"/>
  <c r="G28" s="1"/>
  <c r="G25"/>
  <c r="G24"/>
  <c r="G23"/>
  <c r="F22"/>
  <c r="F26" s="1"/>
  <c r="F32" s="1"/>
  <c r="I32" s="1"/>
  <c r="G20"/>
  <c r="H20" s="1"/>
  <c r="A1"/>
  <c r="C29" i="8"/>
  <c r="C25"/>
  <c r="C12"/>
  <c r="E12" s="1"/>
  <c r="E29"/>
  <c r="F28"/>
  <c r="E27"/>
  <c r="E26"/>
  <c r="E24"/>
  <c r="E23"/>
  <c r="F22"/>
  <c r="D22"/>
  <c r="E21"/>
  <c r="E20"/>
  <c r="E19"/>
  <c r="C18"/>
  <c r="E18" s="1"/>
  <c r="E16"/>
  <c r="F15"/>
  <c r="D15"/>
  <c r="E14"/>
  <c r="E11"/>
  <c r="E10"/>
  <c r="D7"/>
  <c r="F7"/>
  <c r="E31" i="4"/>
  <c r="E26"/>
  <c r="E25"/>
  <c r="D22"/>
  <c r="D27" s="1"/>
  <c r="E23"/>
  <c r="F22"/>
  <c r="E21"/>
  <c r="E20"/>
  <c r="F12"/>
  <c r="F18" s="1"/>
  <c r="D12"/>
  <c r="D18" s="1"/>
  <c r="D19" s="1"/>
  <c r="F11"/>
  <c r="E11"/>
  <c r="E8"/>
  <c r="E7"/>
  <c r="D28" i="2"/>
  <c r="G37" i="7"/>
  <c r="D26"/>
  <c r="D22"/>
  <c r="G22"/>
  <c r="F40"/>
  <c r="F39"/>
  <c r="F38"/>
  <c r="F37"/>
  <c r="F36"/>
  <c r="F35"/>
  <c r="F34"/>
  <c r="F33"/>
  <c r="F32"/>
  <c r="F31"/>
  <c r="E30"/>
  <c r="D30"/>
  <c r="F28"/>
  <c r="F27"/>
  <c r="F26"/>
  <c r="F25"/>
  <c r="F24"/>
  <c r="F23"/>
  <c r="E22"/>
  <c r="F21"/>
  <c r="F20"/>
  <c r="F19"/>
  <c r="F18"/>
  <c r="F17"/>
  <c r="F16"/>
  <c r="F15"/>
  <c r="F14"/>
  <c r="F13"/>
  <c r="F12"/>
  <c r="F11"/>
  <c r="F10"/>
  <c r="G9"/>
  <c r="E9"/>
  <c r="D9"/>
  <c r="D8"/>
  <c r="F8" s="1"/>
  <c r="G7"/>
  <c r="F6"/>
  <c r="G5"/>
  <c r="E5"/>
  <c r="E41" s="1"/>
  <c r="E16" i="6"/>
  <c r="F8"/>
  <c r="D33"/>
  <c r="F32"/>
  <c r="F31"/>
  <c r="E29"/>
  <c r="D29"/>
  <c r="D27" s="1"/>
  <c r="G27"/>
  <c r="E27"/>
  <c r="G26"/>
  <c r="D26"/>
  <c r="F26" s="1"/>
  <c r="F24"/>
  <c r="F23"/>
  <c r="F22"/>
  <c r="F21"/>
  <c r="F20"/>
  <c r="F19"/>
  <c r="F18"/>
  <c r="G16"/>
  <c r="D17"/>
  <c r="F17" s="1"/>
  <c r="F16" s="1"/>
  <c r="F14"/>
  <c r="F13"/>
  <c r="G11"/>
  <c r="F12"/>
  <c r="E11"/>
  <c r="G7"/>
  <c r="E7"/>
  <c r="I21" i="5"/>
  <c r="I20"/>
  <c r="I19"/>
  <c r="E17"/>
  <c r="E22" s="1"/>
  <c r="D17"/>
  <c r="D22" s="1"/>
  <c r="I16"/>
  <c r="I14"/>
  <c r="I13"/>
  <c r="F12"/>
  <c r="I11"/>
  <c r="G11"/>
  <c r="H10"/>
  <c r="H12" s="1"/>
  <c r="H15" s="1"/>
  <c r="I15" s="1"/>
  <c r="G10"/>
  <c r="G12" s="1"/>
  <c r="F10"/>
  <c r="C10"/>
  <c r="C17" s="1"/>
  <c r="E39" i="2"/>
  <c r="D28" i="3"/>
  <c r="C28"/>
  <c r="C27"/>
  <c r="D26"/>
  <c r="D19"/>
  <c r="D18"/>
  <c r="D16"/>
  <c r="C16"/>
  <c r="C14" i="4" s="1"/>
  <c r="E14" s="1"/>
  <c r="D15" i="3"/>
  <c r="C15"/>
  <c r="C13" i="4" s="1"/>
  <c r="E13" s="1"/>
  <c r="D14" i="3"/>
  <c r="C14"/>
  <c r="D13"/>
  <c r="D12"/>
  <c r="D11"/>
  <c r="C11"/>
  <c r="C9" i="4" s="1"/>
  <c r="E9" s="1"/>
  <c r="D8" i="3"/>
  <c r="E42" i="2"/>
  <c r="E40"/>
  <c r="D40"/>
  <c r="E38"/>
  <c r="E35"/>
  <c r="D35"/>
  <c r="E28"/>
  <c r="E26"/>
  <c r="E25"/>
  <c r="D20"/>
  <c r="E16"/>
  <c r="D16"/>
  <c r="E13"/>
  <c r="E12"/>
  <c r="D12"/>
  <c r="E11"/>
  <c r="D9"/>
  <c r="D8"/>
  <c r="E7"/>
  <c r="D37" i="1"/>
  <c r="E34"/>
  <c r="E33"/>
  <c r="E28"/>
  <c r="E27" s="1"/>
  <c r="D28"/>
  <c r="D27" s="1"/>
  <c r="D24"/>
  <c r="E23"/>
  <c r="D23"/>
  <c r="E20"/>
  <c r="D20"/>
  <c r="E18"/>
  <c r="D17"/>
  <c r="E16"/>
  <c r="E15"/>
  <c r="E14"/>
  <c r="D14"/>
  <c r="D13"/>
  <c r="E12"/>
  <c r="E9"/>
  <c r="E8"/>
  <c r="D8"/>
  <c r="E50" i="16" l="1"/>
  <c r="H25" i="21"/>
  <c r="D7" i="2"/>
  <c r="F41" i="19"/>
  <c r="F43"/>
  <c r="F45"/>
  <c r="F47"/>
  <c r="F49"/>
  <c r="F51"/>
  <c r="F58"/>
  <c r="F60"/>
  <c r="F62"/>
  <c r="F64"/>
  <c r="F66"/>
  <c r="F68"/>
  <c r="F70"/>
  <c r="F80"/>
  <c r="F85"/>
  <c r="E7" i="1"/>
  <c r="E10" i="2"/>
  <c r="E5" s="1"/>
  <c r="D34" i="16"/>
  <c r="F36" i="19"/>
  <c r="F38"/>
  <c r="F40"/>
  <c r="F42"/>
  <c r="F44"/>
  <c r="F46"/>
  <c r="F48"/>
  <c r="F50"/>
  <c r="F59"/>
  <c r="F61"/>
  <c r="F63"/>
  <c r="F65"/>
  <c r="F67"/>
  <c r="F69"/>
  <c r="I177"/>
  <c r="G177"/>
  <c r="K177"/>
  <c r="F33"/>
  <c r="F34"/>
  <c r="F35"/>
  <c r="F37"/>
  <c r="F39"/>
  <c r="F71"/>
  <c r="F72"/>
  <c r="F73"/>
  <c r="F74"/>
  <c r="F75"/>
  <c r="F76"/>
  <c r="F77"/>
  <c r="F78"/>
  <c r="F79"/>
  <c r="F82"/>
  <c r="F83"/>
  <c r="F84"/>
  <c r="F86"/>
  <c r="E20" i="16"/>
  <c r="G28"/>
  <c r="F42" s="1"/>
  <c r="D42"/>
  <c r="G10"/>
  <c r="C18" i="12"/>
  <c r="C12" i="3"/>
  <c r="C10" i="4" s="1"/>
  <c r="E10" s="1"/>
  <c r="E15" i="8"/>
  <c r="I26" i="9"/>
  <c r="I22"/>
  <c r="K20"/>
  <c r="E25" i="8"/>
  <c r="E22" s="1"/>
  <c r="C22"/>
  <c r="C9"/>
  <c r="E9" s="1"/>
  <c r="C30"/>
  <c r="C28" s="1"/>
  <c r="E24" i="2"/>
  <c r="E23" s="1"/>
  <c r="C26" i="13"/>
  <c r="H23"/>
  <c r="J23"/>
  <c r="J45"/>
  <c r="D34" i="11"/>
  <c r="I23"/>
  <c r="G39"/>
  <c r="K39" s="1"/>
  <c r="K34"/>
  <c r="I18"/>
  <c r="K23"/>
  <c r="I29"/>
  <c r="G62" i="10"/>
  <c r="G106" s="1"/>
  <c r="I79"/>
  <c r="E90"/>
  <c r="E104" s="1"/>
  <c r="E106" s="1"/>
  <c r="I23"/>
  <c r="I27" s="1"/>
  <c r="I73"/>
  <c r="G22" i="9"/>
  <c r="C15" i="8"/>
  <c r="C12" i="4"/>
  <c r="D28"/>
  <c r="E12"/>
  <c r="D30"/>
  <c r="D13" i="2"/>
  <c r="F17" i="5"/>
  <c r="F22" s="1"/>
  <c r="D16" i="6"/>
  <c r="F30" i="7"/>
  <c r="F9"/>
  <c r="E29"/>
  <c r="G41"/>
  <c r="G29"/>
  <c r="D7"/>
  <c r="F22"/>
  <c r="E6" i="6"/>
  <c r="D25"/>
  <c r="F25" s="1"/>
  <c r="G6"/>
  <c r="G38" s="1"/>
  <c r="E38"/>
  <c r="F29"/>
  <c r="F27" s="1"/>
  <c r="C22" i="5"/>
  <c r="G17"/>
  <c r="G22" s="1"/>
  <c r="I12"/>
  <c r="I10"/>
  <c r="E32" i="2"/>
  <c r="E43" s="1"/>
  <c r="E31"/>
  <c r="E11" i="1"/>
  <c r="E6" s="1"/>
  <c r="E31"/>
  <c r="E29" s="1"/>
  <c r="D18"/>
  <c r="D39" i="2"/>
  <c r="D38"/>
  <c r="G42" i="16" l="1"/>
  <c r="C11" i="12"/>
  <c r="C8" i="3"/>
  <c r="C6" i="4" s="1"/>
  <c r="E6" s="1"/>
  <c r="G26" i="9"/>
  <c r="K26" s="1"/>
  <c r="K22"/>
  <c r="C43" i="13"/>
  <c r="H26"/>
  <c r="I34" i="11"/>
  <c r="D44"/>
  <c r="G32" i="9"/>
  <c r="H26"/>
  <c r="E28" i="8"/>
  <c r="E30" s="1"/>
  <c r="D25" i="2"/>
  <c r="D24" s="1"/>
  <c r="D23" s="1"/>
  <c r="C26" i="3"/>
  <c r="C19"/>
  <c r="C17" i="4" s="1"/>
  <c r="E17" s="1"/>
  <c r="I17" i="5"/>
  <c r="D16" i="1"/>
  <c r="D15" i="6" s="1"/>
  <c r="D9" i="1"/>
  <c r="F7" i="7"/>
  <c r="D5"/>
  <c r="E40" i="1"/>
  <c r="C10" i="12" l="1"/>
  <c r="C8" i="8"/>
  <c r="H32" i="9"/>
  <c r="K32"/>
  <c r="D7" i="1"/>
  <c r="D9" i="6"/>
  <c r="C24" i="3"/>
  <c r="C29" s="1"/>
  <c r="C24" i="4"/>
  <c r="F15" i="6"/>
  <c r="F11" s="1"/>
  <c r="D11"/>
  <c r="C45" i="13"/>
  <c r="H43"/>
  <c r="I44" i="11"/>
  <c r="D48"/>
  <c r="D11" i="2"/>
  <c r="D41" i="7"/>
  <c r="F41" s="1"/>
  <c r="F5"/>
  <c r="D29"/>
  <c r="F29" s="1"/>
  <c r="E8" i="8" l="1"/>
  <c r="E7" s="1"/>
  <c r="C7"/>
  <c r="D15" i="1"/>
  <c r="C22" i="4"/>
  <c r="E24"/>
  <c r="D7" i="6"/>
  <c r="D6" s="1"/>
  <c r="D38" s="1"/>
  <c r="F9"/>
  <c r="F7" s="1"/>
  <c r="F6" s="1"/>
  <c r="F38" s="1"/>
  <c r="C47" i="13"/>
  <c r="H45"/>
  <c r="D50" i="11"/>
  <c r="I48"/>
  <c r="E22" i="4" l="1"/>
  <c r="C27"/>
  <c r="E27" s="1"/>
  <c r="D37" i="11"/>
  <c r="I50"/>
  <c r="D52"/>
  <c r="I52" s="1"/>
  <c r="I37" l="1"/>
  <c r="D39"/>
  <c r="I39" s="1"/>
  <c r="D12" i="1"/>
  <c r="D11" s="1"/>
  <c r="D6" s="1"/>
  <c r="F15" i="17" l="1"/>
  <c r="F13" s="1"/>
  <c r="D13" i="16" l="1"/>
  <c r="D14"/>
  <c r="D45"/>
  <c r="E32"/>
  <c r="G32" s="1"/>
  <c r="F47" s="1"/>
  <c r="F13"/>
  <c r="F20" s="1"/>
  <c r="E31" l="1"/>
  <c r="G31" s="1"/>
  <c r="F46" s="1"/>
  <c r="D15"/>
  <c r="G14"/>
  <c r="D46"/>
  <c r="G13"/>
  <c r="D12"/>
  <c r="E29"/>
  <c r="F30"/>
  <c r="F34" s="1"/>
  <c r="E30" l="1"/>
  <c r="G30" s="1"/>
  <c r="F45" s="1"/>
  <c r="G45" s="1"/>
  <c r="G15"/>
  <c r="D47"/>
  <c r="G47" s="1"/>
  <c r="G29"/>
  <c r="E34"/>
  <c r="D44"/>
  <c r="D20"/>
  <c r="G12"/>
  <c r="G46"/>
  <c r="G20" l="1"/>
  <c r="D50"/>
  <c r="G34"/>
  <c r="F44"/>
  <c r="F50" s="1"/>
  <c r="C17" i="3" l="1"/>
  <c r="E50" i="17"/>
  <c r="E30"/>
  <c r="E17" s="1"/>
  <c r="C18" i="3"/>
  <c r="C16" i="4" s="1"/>
  <c r="E16" s="1"/>
  <c r="G44" i="16"/>
  <c r="G50" s="1"/>
  <c r="D28" i="15" l="1"/>
  <c r="D32" s="1"/>
  <c r="C15" i="4"/>
  <c r="C20" i="3"/>
  <c r="C21" s="1"/>
  <c r="C30" s="1"/>
  <c r="E16" i="17"/>
  <c r="E43" s="1"/>
  <c r="C31" i="3" l="1"/>
  <c r="C29" i="4" s="1"/>
  <c r="E29" s="1"/>
  <c r="D34" i="1"/>
  <c r="D31" s="1"/>
  <c r="D29" s="1"/>
  <c r="D40" s="1"/>
  <c r="C18" i="4"/>
  <c r="E15"/>
  <c r="D42" i="2" l="1"/>
  <c r="D32" s="1"/>
  <c r="C19" i="4"/>
  <c r="E18"/>
  <c r="H18" i="5"/>
  <c r="D15" i="2"/>
  <c r="D10" s="1"/>
  <c r="D5" s="1"/>
  <c r="C32" i="3"/>
  <c r="D17"/>
  <c r="D20" s="1"/>
  <c r="D21" s="1"/>
  <c r="D31" i="2" l="1"/>
  <c r="D43"/>
  <c r="C28" i="4"/>
  <c r="E19"/>
  <c r="I18" i="5"/>
  <c r="I22" s="1"/>
  <c r="H22"/>
  <c r="F18" i="17"/>
  <c r="F17" s="1"/>
  <c r="D27" i="3"/>
  <c r="D24" s="1"/>
  <c r="D29" s="1"/>
  <c r="D30" s="1"/>
  <c r="D31" s="1"/>
  <c r="D32" s="1"/>
  <c r="F16" i="17"/>
  <c r="C30" i="4" l="1"/>
  <c r="E30" s="1"/>
  <c r="E28"/>
  <c r="F43" i="17"/>
</calcChain>
</file>

<file path=xl/comments1.xml><?xml version="1.0" encoding="utf-8"?>
<comments xmlns="http://schemas.openxmlformats.org/spreadsheetml/2006/main">
  <authors>
    <author>Titi</author>
  </authors>
  <commentList>
    <comment ref="C12" authorId="0">
      <text>
        <r>
          <rPr>
            <b/>
            <sz val="8"/>
            <color indexed="81"/>
            <rFont val="Tahoma"/>
            <family val="2"/>
          </rPr>
          <t>Titi:</t>
        </r>
        <r>
          <rPr>
            <sz val="8"/>
            <color indexed="81"/>
            <rFont val="Tahoma"/>
            <family val="2"/>
          </rPr>
          <t xml:space="preserve">
shif shenimin ne krah
</t>
        </r>
      </text>
    </comment>
  </commentList>
</comments>
</file>

<file path=xl/comments2.xml><?xml version="1.0" encoding="utf-8"?>
<comments xmlns="http://schemas.openxmlformats.org/spreadsheetml/2006/main">
  <authors>
    <author>Titi</author>
  </authors>
  <commentList>
    <comment ref="C10" authorId="0">
      <text>
        <r>
          <rPr>
            <b/>
            <sz val="8"/>
            <color indexed="81"/>
            <rFont val="Tahoma"/>
            <family val="2"/>
          </rPr>
          <t>Titi:</t>
        </r>
        <r>
          <rPr>
            <sz val="8"/>
            <color indexed="81"/>
            <rFont val="Tahoma"/>
            <family val="2"/>
          </rPr>
          <t xml:space="preserve">
shif shenimin ne krah
</t>
        </r>
      </text>
    </comment>
  </commentList>
</comments>
</file>

<file path=xl/comments3.xml><?xml version="1.0" encoding="utf-8"?>
<comments xmlns="http://schemas.openxmlformats.org/spreadsheetml/2006/main">
  <authors>
    <author>Boga &amp; Associates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Boga &amp; Associates:</t>
        </r>
        <r>
          <rPr>
            <sz val="8"/>
            <color indexed="81"/>
            <rFont val="Tahoma"/>
            <family val="2"/>
          </rPr>
          <t xml:space="preserve">
Metoda indirekte
</t>
        </r>
      </text>
    </comment>
  </commentList>
</comments>
</file>

<file path=xl/sharedStrings.xml><?xml version="1.0" encoding="utf-8"?>
<sst xmlns="http://schemas.openxmlformats.org/spreadsheetml/2006/main" count="1323" uniqueCount="776">
  <si>
    <t>Pasqyra Financiare te Vitit 2012</t>
  </si>
  <si>
    <t>GARDEN LINE</t>
  </si>
  <si>
    <t>Nr.</t>
  </si>
  <si>
    <t>AKTIVET</t>
  </si>
  <si>
    <t xml:space="preserve">Shenime </t>
  </si>
  <si>
    <t>Periudha</t>
  </si>
  <si>
    <t>Raportuese</t>
  </si>
  <si>
    <t>Para ardhese</t>
  </si>
  <si>
    <t>I</t>
  </si>
  <si>
    <t>AKTIVET AFATSHKURTRA</t>
  </si>
  <si>
    <t>leke</t>
  </si>
  <si>
    <t xml:space="preserve"> 1. Aktivet monetare</t>
  </si>
  <si>
    <t xml:space="preserve">    &gt;Banka</t>
  </si>
  <si>
    <t xml:space="preserve">    &gt;Arka</t>
  </si>
  <si>
    <t xml:space="preserve"> 2. Derivative dhe aktive te mbajtura per tregtim</t>
  </si>
  <si>
    <t xml:space="preserve"> 3. Aktive te tjera financiare afatshkurtra</t>
  </si>
  <si>
    <t xml:space="preserve">    &gt;Kliente per mallra, produkte e sherbime</t>
  </si>
  <si>
    <t xml:space="preserve">    &gt;Debitore, Kreditore te tjere</t>
  </si>
  <si>
    <t xml:space="preserve">    &gt;Tatim mbi fitimin</t>
  </si>
  <si>
    <t xml:space="preserve">    &gt;TVSH</t>
  </si>
  <si>
    <t xml:space="preserve">    &gt;Te tjera kerkesa te arketueshme </t>
  </si>
  <si>
    <t xml:space="preserve">    &gt;  tatim fitimi nga kontrolli</t>
  </si>
  <si>
    <t xml:space="preserve"> 4. Inventari</t>
  </si>
  <si>
    <t xml:space="preserve">    &gt;Lendet e para</t>
  </si>
  <si>
    <t xml:space="preserve">    &gt;Inventari imet</t>
  </si>
  <si>
    <t xml:space="preserve">    &gt;Prodhim ne proces</t>
  </si>
  <si>
    <t xml:space="preserve">    &gt;Produkte te gatshme</t>
  </si>
  <si>
    <t xml:space="preserve">    &gt;Mallra per shitje</t>
  </si>
  <si>
    <t xml:space="preserve">    &gt;Para pagesa per furnizime</t>
  </si>
  <si>
    <t xml:space="preserve"> 5. Aktive biologjike afatshkurtra</t>
  </si>
  <si>
    <t xml:space="preserve"> 6. Aktive afatshkurtra te mbajtura per rishitje</t>
  </si>
  <si>
    <t xml:space="preserve"> 7. Parapagime dhe shpenzime te shtyra</t>
  </si>
  <si>
    <t xml:space="preserve">    &gt;Shpenzime te periudhave te ardhshme</t>
  </si>
  <si>
    <t>II</t>
  </si>
  <si>
    <t>AKTIVET AFATGJATA</t>
  </si>
  <si>
    <t xml:space="preserve"> 1. Investimet financiare afatgjata</t>
  </si>
  <si>
    <t xml:space="preserve"> 2. Aktive afatgjata materiale</t>
  </si>
  <si>
    <t xml:space="preserve">    &gt;Toka</t>
  </si>
  <si>
    <t xml:space="preserve">    &gt;Ndertesa dhe instalime</t>
  </si>
  <si>
    <t xml:space="preserve">    &gt;Makineri dhe pajisje(mjete transporti)</t>
  </si>
  <si>
    <t xml:space="preserve"> 3. Aktivet biologjeke afatgjata</t>
  </si>
  <si>
    <t xml:space="preserve"> 4. Aktive afatgjata jo materiale</t>
  </si>
  <si>
    <t xml:space="preserve"> 5. Kapitali aksioner I pa paguar</t>
  </si>
  <si>
    <t xml:space="preserve"> 6. Aktive te tjera afatgjata</t>
  </si>
  <si>
    <t>TOTALI I AKTIVEVE  ( I+II )</t>
  </si>
  <si>
    <t>PASIVET DHE KAPITALI</t>
  </si>
  <si>
    <t>Shenime</t>
  </si>
  <si>
    <t>PASIVET AFATSHKURTRA</t>
  </si>
  <si>
    <t xml:space="preserve"> 1. Derivativet</t>
  </si>
  <si>
    <t xml:space="preserve"> 2. Huamarrjet</t>
  </si>
  <si>
    <t xml:space="preserve">    &gt;Overdraftet bankare</t>
  </si>
  <si>
    <t xml:space="preserve">    &gt;Huamarrje afatshkurtra</t>
  </si>
  <si>
    <t xml:space="preserve"> 3. Huat dhe parapagimet</t>
  </si>
  <si>
    <t xml:space="preserve">    &gt;Te pagueshme ndaj furnitoreve</t>
  </si>
  <si>
    <t xml:space="preserve">    &gt;Te pagueshme ndaj punonjesve</t>
  </si>
  <si>
    <t xml:space="preserve">    &gt;Detyrime per Sigurime Shoq. Shend.</t>
  </si>
  <si>
    <t xml:space="preserve">    &gt;Detyrime tatimore per TAP - in</t>
  </si>
  <si>
    <t xml:space="preserve">    &gt;Detyrime tatimore per Tatim Fitimin</t>
  </si>
  <si>
    <t xml:space="preserve">    &gt;Detyrime tatimore per TVSH-ne</t>
  </si>
  <si>
    <t xml:space="preserve">    &gt;Detyrime tatimore per Tatim ne Burim</t>
  </si>
  <si>
    <t xml:space="preserve">    &gt;Te drejta e detyrime ndaj ortakeve</t>
  </si>
  <si>
    <t xml:space="preserve">    &gt;Dividente per t'u paguar</t>
  </si>
  <si>
    <t xml:space="preserve">    &gt;Debitore dhe Kreditore te tjere </t>
  </si>
  <si>
    <t xml:space="preserve"> 4. Grandet dhe te ardhurat e shtyra</t>
  </si>
  <si>
    <t xml:space="preserve"> 5. Provizionet afatshkurtra</t>
  </si>
  <si>
    <t xml:space="preserve"> PASIVET AFATGJATA</t>
  </si>
  <si>
    <t xml:space="preserve"> 1. Huat afatgjata</t>
  </si>
  <si>
    <t xml:space="preserve">    &gt;Hua, bono dhe detyrime nga qeraja financiare</t>
  </si>
  <si>
    <t xml:space="preserve">    &gt;Hua,  te tjera afat gjate  financiare</t>
  </si>
  <si>
    <t xml:space="preserve">    &gt;Bono te konvertueshme</t>
  </si>
  <si>
    <t xml:space="preserve"> 2. Huamarrje te tjera afatgjata</t>
  </si>
  <si>
    <t xml:space="preserve"> 3. Grantet dhe te ardhurat e shtyra kosova</t>
  </si>
  <si>
    <t xml:space="preserve"> 4. Provizionet afatgjata</t>
  </si>
  <si>
    <t xml:space="preserve">  TOTALI I PASIVEVE ( I+II )</t>
  </si>
  <si>
    <t>III</t>
  </si>
  <si>
    <t xml:space="preserve"> KAPITALI</t>
  </si>
  <si>
    <t xml:space="preserve"> 1. Aksionet e pakices (PF te konsoliduara)</t>
  </si>
  <si>
    <t xml:space="preserve"> 2. Kapitali aksionereve te shoq. Meme (PF te kons.)</t>
  </si>
  <si>
    <t xml:space="preserve"> 3. Kapitali aksionar</t>
  </si>
  <si>
    <t xml:space="preserve"> 4. Primi I aksionar</t>
  </si>
  <si>
    <t xml:space="preserve"> 5. Njesite ose aksionet e thesarit (Negative)</t>
  </si>
  <si>
    <t xml:space="preserve"> 6. Rezervat statutore</t>
  </si>
  <si>
    <t xml:space="preserve"> 7. Rezervat ligjore</t>
  </si>
  <si>
    <t xml:space="preserve"> 8. Rezervat e tjera investime</t>
  </si>
  <si>
    <t xml:space="preserve"> 9. Fitimet e pa shperndara</t>
  </si>
  <si>
    <t>10. Fitimi (Humbja) e vitit financiar</t>
  </si>
  <si>
    <t xml:space="preserve">  TOTALI I PASIVEVE DHE KAPITALIT  ( I + III )</t>
  </si>
  <si>
    <t>Pasqyra e te Ardhurave dhe Shpenzimeve 2012</t>
  </si>
  <si>
    <t>(Bazuar ne klasifikimin e Shpenzimeve sipas Natyres</t>
  </si>
  <si>
    <t>Pershkrimi i Elementeve</t>
  </si>
  <si>
    <t xml:space="preserve">   Shitjet neto</t>
  </si>
  <si>
    <t xml:space="preserve">   Shitjet neto dega Kosove</t>
  </si>
  <si>
    <t xml:space="preserve">   Te ardhura te tjera nga veprimtaria e shfrytezimit</t>
  </si>
  <si>
    <t xml:space="preserve">   Ndrysh. Ne invent. Prod. Gatshem e prodhimit ne proçes(-)</t>
  </si>
  <si>
    <t xml:space="preserve">   Materialet e konsumuara</t>
  </si>
  <si>
    <t xml:space="preserve">   Materialet e konsumuara dega kosove</t>
  </si>
  <si>
    <t xml:space="preserve">   Kosto e punes</t>
  </si>
  <si>
    <t xml:space="preserve">        Pagat e personelit</t>
  </si>
  <si>
    <t xml:space="preserve">   Shpenzimet per sigurime shoqerore e shendetesore</t>
  </si>
  <si>
    <t xml:space="preserve">   Amortizimet dhe zhvleresimet</t>
  </si>
  <si>
    <t xml:space="preserve">   Shpenzime te tjera</t>
  </si>
  <si>
    <t xml:space="preserve">   Shpenzime te tjera te  pazbritshme per efekt tatimi</t>
  </si>
  <si>
    <t>Totali I Shpenzimeve (shumat 4-7)</t>
  </si>
  <si>
    <t xml:space="preserve">  Fitimi (humbja) nga veprimtarite kryesore (1+2+/-3-8)</t>
  </si>
  <si>
    <t xml:space="preserve">  Te ardhurat dhe shpenzimet financiare nga njesite e kontrolluara</t>
  </si>
  <si>
    <t xml:space="preserve">  Te ardhurat dhe shpenzimet financiare nga pjesemarrjet</t>
  </si>
  <si>
    <t xml:space="preserve">  Te ardhurat dhe shpenzimet financiare </t>
  </si>
  <si>
    <t xml:space="preserve">   12.1   Te ardh. E shpenz.financ.nga invest.te tjera financ.afatgjata</t>
  </si>
  <si>
    <t xml:space="preserve">   12.2   Te ardhurat dhe shpenzimet nga interesat</t>
  </si>
  <si>
    <t xml:space="preserve">   12.3   Fitimet (Humbjet) nga kursi I kembimit</t>
  </si>
  <si>
    <t xml:space="preserve">   12.4   Te ardhura dhe shpenzime te tjera financiare</t>
  </si>
  <si>
    <t>Totali I te Ardhurave dhe Shpenzimeve Financiare(8+12)</t>
  </si>
  <si>
    <t xml:space="preserve">   Fitimi ( humbja) para tatimit (9+12+7.1)</t>
  </si>
  <si>
    <t xml:space="preserve">   Shpenzimet e tatimit mbi fitimin </t>
  </si>
  <si>
    <t xml:space="preserve">   Fitimi ( humbja) neto e vitit financier (14-15)</t>
  </si>
  <si>
    <t xml:space="preserve">   Elementet e pasqyrave te konsoliduara</t>
  </si>
  <si>
    <t>Pasqyrat e Ndryshimeve ne Kapital 2012</t>
  </si>
  <si>
    <t>Nje pasqyre e pa konsoliduar</t>
  </si>
  <si>
    <t>Emertimi</t>
  </si>
  <si>
    <t>Kapitali aksionar</t>
  </si>
  <si>
    <t>Primi aksionit</t>
  </si>
  <si>
    <t>Aksione thesari</t>
  </si>
  <si>
    <t>Rezerva stat. ligjore</t>
  </si>
  <si>
    <t>rezerve te tjera (invest)</t>
  </si>
  <si>
    <t>Fitimi pashperndare</t>
  </si>
  <si>
    <t>TOTALI</t>
  </si>
  <si>
    <t>investime</t>
  </si>
  <si>
    <t>I.</t>
  </si>
  <si>
    <t>Pozicioni me 31 dhjetor 2011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</si>
  <si>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</si>
  <si>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</si>
  <si>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</si>
  <si>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</si>
  <si>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</si>
  <si>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</si>
  <si>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</si>
  <si>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I aksionereve</t>
  </si>
  <si>
    <t>Emetimi I kapitalit aksionar</t>
  </si>
  <si>
    <t>Aksione te thesari te riblera</t>
  </si>
  <si>
    <t>Pozicioni me 31 dhjetor 2012</t>
  </si>
  <si>
    <t>dega Kosove</t>
  </si>
  <si>
    <t>konsoliduar</t>
  </si>
  <si>
    <t xml:space="preserve">    &gt;rivlersimi</t>
  </si>
  <si>
    <t>dega Tirane</t>
  </si>
  <si>
    <t xml:space="preserve"> 3. Grantet dhe te ardhurat e shtyra</t>
  </si>
  <si>
    <t>Garden Line            Pasqyra Financiare te Vitit 2012</t>
  </si>
  <si>
    <t>dega tirane</t>
  </si>
  <si>
    <t>dega kosove</t>
  </si>
  <si>
    <t>Garden line        Pasqyra e te Ardhurave dhe Shpenzimeve 2012</t>
  </si>
  <si>
    <t>Pasqyra e Fluksit Monetar - Metoda Direkte</t>
  </si>
  <si>
    <t xml:space="preserve">  Fluksi monetar nga veprimtarite e shfrytezimit(1-15)</t>
  </si>
  <si>
    <t xml:space="preserve">             Mjetet monetare (MM) te arketuara nga klientet</t>
  </si>
  <si>
    <t xml:space="preserve">             MM te paguara ndaj furnitore dhe punonjesve</t>
  </si>
  <si>
    <t xml:space="preserve">             Arketimet nga ortaket</t>
  </si>
  <si>
    <t xml:space="preserve">             MM te ardhura nga veprimtarite</t>
  </si>
  <si>
    <t xml:space="preserve">             Interesi i paguar</t>
  </si>
  <si>
    <t xml:space="preserve">             Tatim mbi fitimin i paguar</t>
  </si>
  <si>
    <t xml:space="preserve">             MM neto nga veprimtarite e shfrytezimit</t>
  </si>
  <si>
    <t xml:space="preserve">  Fluksi monetar nga veprimtarite investuese(9-14)</t>
  </si>
  <si>
    <t xml:space="preserve">           Blerja e njesise se kontrolluar X minus parate e Arketuara</t>
  </si>
  <si>
    <t xml:space="preserve">           Blerja e aktiveve afatgjata materiale</t>
  </si>
  <si>
    <t xml:space="preserve">          Te ardhura nga shitja e pajisjeve</t>
  </si>
  <si>
    <t xml:space="preserve">           Interesi I arketuar</t>
  </si>
  <si>
    <t xml:space="preserve">          Dividentet e arketuar</t>
  </si>
  <si>
    <t xml:space="preserve">          MM neto te perdorura ne veprimtarite investuese</t>
  </si>
  <si>
    <r>
      <t xml:space="preserve">  Fluksi monetar nga aktivitetet financiare</t>
    </r>
    <r>
      <rPr>
        <b/>
        <i/>
        <sz val="8"/>
        <rFont val="Book Antiqua"/>
        <family val="1"/>
      </rPr>
      <t xml:space="preserve"> (16-20)</t>
    </r>
  </si>
  <si>
    <t xml:space="preserve">         Te ardhura nga emetimi I kapitalit aksioner</t>
  </si>
  <si>
    <t xml:space="preserve">         Te ardhura nga huamarrje afatgjata</t>
  </si>
  <si>
    <t xml:space="preserve">         Pagesat e detyrimeve te huave financiare</t>
  </si>
  <si>
    <t xml:space="preserve">         Dividente te paguar</t>
  </si>
  <si>
    <t xml:space="preserve">         MM neto te perdorura ne Veprimtarite Financiare </t>
  </si>
  <si>
    <t xml:space="preserve">  Rritja/Renia neto e mjeteve monetare</t>
  </si>
  <si>
    <t xml:space="preserve">  Mjetet monetare ne fillim te periudhes kontabel</t>
  </si>
  <si>
    <t xml:space="preserve">  Mjetet monetare ne fund te periudhes kontabel</t>
  </si>
  <si>
    <t>Pasqyra e Fluksit Monetar - Metoda Direkte 2012</t>
  </si>
  <si>
    <t xml:space="preserve">    &gt;Para pagesa per furnizime </t>
  </si>
  <si>
    <t>PASQYRA E NDRYSHIMEVE NE KAPITAL</t>
  </si>
  <si>
    <t>Per vitin financiar deri me 31 Dhjetor 2012</t>
  </si>
  <si>
    <t>Ne Euro</t>
  </si>
  <si>
    <t>Primi i aksionit</t>
  </si>
  <si>
    <t>Aksionet e thesarit</t>
  </si>
  <si>
    <t>Rezerva statutore dhe ligjore</t>
  </si>
  <si>
    <t>Fitimi i pashperndare</t>
  </si>
  <si>
    <t>Totali</t>
  </si>
  <si>
    <t>Pozicioni me 31 Dhjetor 2009</t>
  </si>
  <si>
    <t>Efekti i ndryshimeve ne politikat kontabel</t>
  </si>
  <si>
    <t>Pozicioni i rregulluar</t>
  </si>
  <si>
    <t>Dividendet e paguar</t>
  </si>
  <si>
    <t>Rritje e rezerves se kapitalit</t>
  </si>
  <si>
    <t>Emetimi i aksioneve</t>
  </si>
  <si>
    <t>Pozicioni me 31 Dhjetor 2010</t>
  </si>
  <si>
    <t>Fitimi / Humbja neto per periudhen kontabel</t>
  </si>
  <si>
    <t>Emetim i kapitalit aksionar</t>
  </si>
  <si>
    <t>Aksione te thesarit te riblera</t>
  </si>
  <si>
    <t>Pozicioni me 31 Dhjetor 2011</t>
  </si>
  <si>
    <t>Rritje kapitalit aksionar</t>
  </si>
  <si>
    <t>Pozicioni me 31 Dhjetor 2012</t>
  </si>
  <si>
    <t xml:space="preserve"> GARDEN LINE SHPK - DEGA NE KOSOVE</t>
  </si>
  <si>
    <t>PASQYRA E POZICIONIT FINANCIAR</t>
  </si>
  <si>
    <t>Aktive afatshkurtra</t>
  </si>
  <si>
    <t>Mjete monetare</t>
  </si>
  <si>
    <t>Derivative dhe aktive financiare te mbajtura per tregtim</t>
  </si>
  <si>
    <t>Aktive te tjera afatshkurter</t>
  </si>
  <si>
    <t>Kliente per mallra, produkte e sherbime</t>
  </si>
  <si>
    <t>Kerkesa te tjera te arketueshme</t>
  </si>
  <si>
    <t>+</t>
  </si>
  <si>
    <t>Instrumente te tjera borxhi</t>
  </si>
  <si>
    <t>Investime te tjera financiare</t>
  </si>
  <si>
    <t>Inventaret</t>
  </si>
  <si>
    <t>Materiale te para</t>
  </si>
  <si>
    <t>Prodhimi ne proces</t>
  </si>
  <si>
    <t>Produkte te gatshme</t>
  </si>
  <si>
    <t>Mallra per rishitje</t>
  </si>
  <si>
    <t>Parapagime per furnitoret</t>
  </si>
  <si>
    <t>Aktive biologjike afatshkurtra</t>
  </si>
  <si>
    <t>Aktive afatshkurtra te mbajtura per shitje</t>
  </si>
  <si>
    <t>Parapagimet dhe te ardhura per t'u faturuar</t>
  </si>
  <si>
    <t>Totali aktiveve afatshkurtra</t>
  </si>
  <si>
    <t>Aktive afatgjata</t>
  </si>
  <si>
    <t>Investime financiare afatgjate</t>
  </si>
  <si>
    <t>Aksione dhe pjesemarrje ne shoqerite e kontrolluara</t>
  </si>
  <si>
    <t xml:space="preserve">Aksione dhe investime te tjera ne pjesemarrje </t>
  </si>
  <si>
    <t>Aksione dhe letra te tjera me vlere</t>
  </si>
  <si>
    <t>Kerkesa te arketueshme afatgjata</t>
  </si>
  <si>
    <t>Aktive afatgjata materiale</t>
  </si>
  <si>
    <t>Toka</t>
  </si>
  <si>
    <t>Ndertesa</t>
  </si>
  <si>
    <t>Makineri dhe paisje</t>
  </si>
  <si>
    <t>Aktive te tjera afatgjata materiale</t>
  </si>
  <si>
    <t>Aktive afatgjata jomateriale</t>
  </si>
  <si>
    <t>Emri i mire</t>
  </si>
  <si>
    <t>Shpenzimet e zhvillimit</t>
  </si>
  <si>
    <t>Aktivet te tjera afatgjata jomateriale</t>
  </si>
  <si>
    <t>Kapitali aksionar i papaguar</t>
  </si>
  <si>
    <t xml:space="preserve">Aktive te tjera afatgjata </t>
  </si>
  <si>
    <t>Totali aktiveve afatgjata</t>
  </si>
  <si>
    <t>TOTALI AKTIVEVE</t>
  </si>
  <si>
    <t>Huamarrje</t>
  </si>
  <si>
    <t>Hua dhe obligacione afatshkurtra</t>
  </si>
  <si>
    <t>Kthime/ripagesa te huave afatgjata</t>
  </si>
  <si>
    <t>Aksione te konvertueshme</t>
  </si>
  <si>
    <t>Detyrime tregtare dhe te tjera</t>
  </si>
  <si>
    <t>Te pagueshme ndaj furnitoreve</t>
  </si>
  <si>
    <t>Detyrime ndaj personelit</t>
  </si>
  <si>
    <t>Detyrime tatimore afatshkurtra</t>
  </si>
  <si>
    <t>Detyrime te tjera</t>
  </si>
  <si>
    <t>Shpenzime te perllogaritura</t>
  </si>
  <si>
    <t>Provisionet afatshkurtra</t>
  </si>
  <si>
    <t>Totali pasiveve afatshkurtra</t>
  </si>
  <si>
    <t>Hua dhe letra me vlere afatgjata</t>
  </si>
  <si>
    <t>Hua,letra me vlere dhe detyrime nga qiraja financiare</t>
  </si>
  <si>
    <t>Huamarrje te tjera afatgjata</t>
  </si>
  <si>
    <t>Provizionet afatgjata</t>
  </si>
  <si>
    <t>Grandet dhe te ardhurat e shtyra</t>
  </si>
  <si>
    <t>Totali pasiveve afatgjata</t>
  </si>
  <si>
    <t>Totali pasiveve</t>
  </si>
  <si>
    <t>Kapitali</t>
  </si>
  <si>
    <t>Aksionet e pakices</t>
  </si>
  <si>
    <t>Kapitali i aksionereve te shoqerise meme</t>
  </si>
  <si>
    <t>Primi i aksioneve</t>
  </si>
  <si>
    <t>Rezerva statutore</t>
  </si>
  <si>
    <t>Rezerva ligjore</t>
  </si>
  <si>
    <t>Rezerva te tjera</t>
  </si>
  <si>
    <t>Fitimet / Humbjet e akumuluara</t>
  </si>
  <si>
    <t>Fitim / Humbja e vitit financiar</t>
  </si>
  <si>
    <t>Total kapitali</t>
  </si>
  <si>
    <t xml:space="preserve">TOTALI PASIVEVE DHE KAPITALIT </t>
  </si>
  <si>
    <t xml:space="preserve">leke </t>
  </si>
  <si>
    <t>PASQYRA E TE ARDHURAVE PERMBLEDHESE</t>
  </si>
  <si>
    <t xml:space="preserve">   </t>
  </si>
  <si>
    <t>Shitjet neto</t>
  </si>
  <si>
    <t>Te ardhura te tjera nga veprimtarite e shfrytezimit</t>
  </si>
  <si>
    <t>Ndryshimet ne inventarin e produkteve te gatshme dhe punes ne proces</t>
  </si>
  <si>
    <t>Puna e kryer per qellime te veta dhe e kapitalizuar</t>
  </si>
  <si>
    <t>Mallrat, lende te para dhe sherbimet</t>
  </si>
  <si>
    <t>Shpenzime te tjera nga veprimtarite e shfrytezimit</t>
  </si>
  <si>
    <t>Shpenzime personeli</t>
  </si>
  <si>
    <t>Pagat</t>
  </si>
  <si>
    <t>Shpenzimet e sigurimeve shoqerore</t>
  </si>
  <si>
    <t>Shpenzimet per pensionet</t>
  </si>
  <si>
    <t>Renia ne vlere dhe amortizimi</t>
  </si>
  <si>
    <t>Fitimi/humbja nga veprimtarite e shfrytezimit</t>
  </si>
  <si>
    <t>Te ardhurat dhe shpenzimet financiare nga shoqerite e kontrolluara</t>
  </si>
  <si>
    <t>Te ardhurat dhe shpenzimet financiare nga pjesemarrjet</t>
  </si>
  <si>
    <t xml:space="preserve">Te ardhura dhe shpenzime financiare </t>
  </si>
  <si>
    <t>Te ardhurat dhe shpenzimet nga investimet afatgjata</t>
  </si>
  <si>
    <t>Te ardhurat dhe shpenzimet nga interesi</t>
  </si>
  <si>
    <t>Fitimet (humbjet) nga kursi kembimit</t>
  </si>
  <si>
    <t>Te ardhurat dhe shpenzimet te tjera financiare</t>
  </si>
  <si>
    <t xml:space="preserve">Totali i te ardhura dhe shpenzime financiare </t>
  </si>
  <si>
    <t>Fitimi (humbja) para tatimit</t>
  </si>
  <si>
    <t>Shpenzime te tatimit mbi fitimin</t>
  </si>
  <si>
    <t>Fitimi (humbja) neto e vitit financiar</t>
  </si>
  <si>
    <t xml:space="preserve">Shpenzimet e pazbritshme </t>
  </si>
  <si>
    <t>Fitimi (humbja) e tatueshme</t>
  </si>
  <si>
    <t>PASQYRA E FLUKSIT TE PARASE</t>
  </si>
  <si>
    <t xml:space="preserve">  Per vitin financiar deri me 31 Dhjetor 2012</t>
  </si>
  <si>
    <t>Fluksi i parave nga veprimtarite e shfrytezimit</t>
  </si>
  <si>
    <t>Fitimi para tatimit</t>
  </si>
  <si>
    <t>Rregullime per:</t>
  </si>
  <si>
    <t xml:space="preserve">  </t>
  </si>
  <si>
    <t>Amortizimin</t>
  </si>
  <si>
    <t>Humbje nga kembimet valutore</t>
  </si>
  <si>
    <t>Te ardhura nga investimet</t>
  </si>
  <si>
    <t>Shpenzime per interesat</t>
  </si>
  <si>
    <t xml:space="preserve">Shpenzime per tatimin mbi fitimin </t>
  </si>
  <si>
    <t>Rritje/renie ne tepricen e kerkesave te arketueshme</t>
  </si>
  <si>
    <t>Rritje/renie ne tepricen e inventarit</t>
  </si>
  <si>
    <t>Rritje/renie ne tepricen e detyrimeve per t'u paguar</t>
  </si>
  <si>
    <t>Parate e perfituara nga aktivitetet</t>
  </si>
  <si>
    <t>Interes i paguar</t>
  </si>
  <si>
    <t>Tatim fitimi i paguar</t>
  </si>
  <si>
    <t>Paraja neto nga aktivitetet e shfrytezimit</t>
  </si>
  <si>
    <t>Fluksi i parave nga veprimtarite investuese</t>
  </si>
  <si>
    <t>Blerja e shoqerise se kontrolluar minus parate e arketuara</t>
  </si>
  <si>
    <t>Blerje e aktiveve afatgjata materiale</t>
  </si>
  <si>
    <t>Te ardhura nga shitja e paisjeve</t>
  </si>
  <si>
    <t>Interes i arketuar</t>
  </si>
  <si>
    <t>Dividente te arketuar</t>
  </si>
  <si>
    <t>Paraja neto e perdorur ne aktivitetet investuese</t>
  </si>
  <si>
    <t>Fluksi i parave nga veprimtarite financiare</t>
  </si>
  <si>
    <t>Emetimi i kapitalit aksionar</t>
  </si>
  <si>
    <t>Huamarrje afatgjata</t>
  </si>
  <si>
    <t>Pagesat e detyrimeve te qirase financiare</t>
  </si>
  <si>
    <t>Dividente te paguar</t>
  </si>
  <si>
    <t>Paraja neto e perdorur ne aktivitetet financiare</t>
  </si>
  <si>
    <t>Rritja/renia neto e mjeteve monetare</t>
  </si>
  <si>
    <t>Mjete monetare ne fillim te periudhes kontabel</t>
  </si>
  <si>
    <t>Mjete monetare ne fund te periudhes kontabel</t>
  </si>
  <si>
    <t>lek</t>
  </si>
  <si>
    <t>Pozicioni me 01 dhjetor 2011</t>
  </si>
  <si>
    <t xml:space="preserve">Garden Line </t>
  </si>
  <si>
    <t>Nipti  K11427004I</t>
  </si>
  <si>
    <t>Aktivet  Afat gjata Materiale me vleren fillestare   2012</t>
  </si>
  <si>
    <t>nr</t>
  </si>
  <si>
    <t>sasia</t>
  </si>
  <si>
    <t>gjendja</t>
  </si>
  <si>
    <t>shtesa</t>
  </si>
  <si>
    <t>Paksime</t>
  </si>
  <si>
    <t xml:space="preserve">Gjendja </t>
  </si>
  <si>
    <t>01.01.2012</t>
  </si>
  <si>
    <t>31.12.2012</t>
  </si>
  <si>
    <t>Ndertime</t>
  </si>
  <si>
    <t>rivlersim ndertese</t>
  </si>
  <si>
    <t>Makineri Paisje,vegla</t>
  </si>
  <si>
    <t>Mjete Transporti</t>
  </si>
  <si>
    <t>Kompjuterike</t>
  </si>
  <si>
    <t>Paisje Zyre</t>
  </si>
  <si>
    <t>Amortizimi Aktiveve Afat gjate Materiale  2012</t>
  </si>
  <si>
    <t>Vlera Kontabile Neto e A.A.Materiale viti 2012</t>
  </si>
  <si>
    <t>fivlersim ndertese</t>
  </si>
  <si>
    <t>Pasqyra ne 2</t>
  </si>
  <si>
    <t>ANEKS STATISTIKOR</t>
  </si>
  <si>
    <t>Nr</t>
  </si>
  <si>
    <t>SHPENZIMET</t>
  </si>
  <si>
    <t xml:space="preserve">Nr </t>
  </si>
  <si>
    <t>Kodi</t>
  </si>
  <si>
    <t>viti</t>
  </si>
  <si>
    <t xml:space="preserve">viti </t>
  </si>
  <si>
    <t>llog.</t>
  </si>
  <si>
    <t>Statistikor</t>
  </si>
  <si>
    <t>Blerje ,shpenzime a+/-b+c+/-d+e</t>
  </si>
  <si>
    <t>a</t>
  </si>
  <si>
    <t>Blerje shp. Materiale e te tjera</t>
  </si>
  <si>
    <t>601+602</t>
  </si>
  <si>
    <t>b</t>
  </si>
  <si>
    <t>Ndryshume gjendjeve  te materialeve  +/-</t>
  </si>
  <si>
    <t>c</t>
  </si>
  <si>
    <t>mallra te blera</t>
  </si>
  <si>
    <t>605/1</t>
  </si>
  <si>
    <t>d</t>
  </si>
  <si>
    <t>Ndryshimi gjendje se mallrave   +/-</t>
  </si>
  <si>
    <t>e</t>
  </si>
  <si>
    <t>shpenzime per sherbime</t>
  </si>
  <si>
    <t>605/2</t>
  </si>
  <si>
    <t>Shpenzime per personelin</t>
  </si>
  <si>
    <t>pagat e personelit</t>
  </si>
  <si>
    <t>sig.shoq.e.shendetsore</t>
  </si>
  <si>
    <t>Amortizimi  dhe zhvlersimet</t>
  </si>
  <si>
    <t>Sherbume nga te trete   ( a-m  )</t>
  </si>
  <si>
    <t>diferenca kursi</t>
  </si>
  <si>
    <t>sponsorizime</t>
  </si>
  <si>
    <t>qera</t>
  </si>
  <si>
    <t>mirmbajtje dhe riparime</t>
  </si>
  <si>
    <t>shpenzime per siguracione</t>
  </si>
  <si>
    <t>f</t>
  </si>
  <si>
    <t>kerkime studime</t>
  </si>
  <si>
    <t>g</t>
  </si>
  <si>
    <t>sherbime tjera</t>
  </si>
  <si>
    <t>h</t>
  </si>
  <si>
    <t>shpenzime kocensione patenta e tjer</t>
  </si>
  <si>
    <t>i</t>
  </si>
  <si>
    <t>shpenzime per reklama</t>
  </si>
  <si>
    <t>j</t>
  </si>
  <si>
    <t>transferime ushetim e djeta</t>
  </si>
  <si>
    <t>k</t>
  </si>
  <si>
    <t>shpenzime postare dhe telekomunikacioni</t>
  </si>
  <si>
    <t>l</t>
  </si>
  <si>
    <t>shpenzime transporti</t>
  </si>
  <si>
    <t>Vlera kont.e AQT te shitur</t>
  </si>
  <si>
    <t>per blerje</t>
  </si>
  <si>
    <t>per shitje</t>
  </si>
  <si>
    <t xml:space="preserve">personel nga jashte </t>
  </si>
  <si>
    <t>energjia plus karburant</t>
  </si>
  <si>
    <t>interesa</t>
  </si>
  <si>
    <t>shpenzim I pa zbritshem</t>
  </si>
  <si>
    <t>m</t>
  </si>
  <si>
    <t>shpnzime per sherbime bankare</t>
  </si>
  <si>
    <t>Tatime dhe taksa    (a+b+c+d)</t>
  </si>
  <si>
    <t>taksa dhe tarifa doganore</t>
  </si>
  <si>
    <t>akciza</t>
  </si>
  <si>
    <t>taksa dhe tarifa vendore</t>
  </si>
  <si>
    <t>taksa regjistrimit dhe te tjera</t>
  </si>
  <si>
    <t>635+638</t>
  </si>
  <si>
    <t>Totali shpenzimeve</t>
  </si>
  <si>
    <t>Informata</t>
  </si>
  <si>
    <t>viti  2012</t>
  </si>
  <si>
    <t>viti  2011</t>
  </si>
  <si>
    <t xml:space="preserve">Nr mesatar I punonjesve </t>
  </si>
  <si>
    <t>Investime</t>
  </si>
  <si>
    <t>shtimi I aseteve fikse</t>
  </si>
  <si>
    <t>nga te cilat :asete te reja</t>
  </si>
  <si>
    <t>Paksimi aseteve fikse</t>
  </si>
  <si>
    <t>nga te cilat shitja e aseteve ekzistuese</t>
  </si>
  <si>
    <t>Pasqyra ne 1</t>
  </si>
  <si>
    <t>TE ARDHURAT</t>
  </si>
  <si>
    <t>Shitje gjithsej    a+b+c+d</t>
  </si>
  <si>
    <t>Te ardhura nga shitja prod.vet 701,702</t>
  </si>
  <si>
    <t>te ardhura nga shitja e sherbimeve</t>
  </si>
  <si>
    <t>te ardhura nga shitja e mallrave</t>
  </si>
  <si>
    <t>bashkia</t>
  </si>
  <si>
    <t>D</t>
  </si>
  <si>
    <t>Shitje mallra ne Degen G.Line ne Kosove</t>
  </si>
  <si>
    <t>bmw</t>
  </si>
  <si>
    <t xml:space="preserve">Te ardhura nga shitje te tjera </t>
  </si>
  <si>
    <t>altllas kopri</t>
  </si>
  <si>
    <t>Qeraja</t>
  </si>
  <si>
    <t xml:space="preserve">fat qerase </t>
  </si>
  <si>
    <t>Komisione</t>
  </si>
  <si>
    <t>mak kosove</t>
  </si>
  <si>
    <t>Transport per te tjere</t>
  </si>
  <si>
    <t>Ndryshime ne inv.p.gatne proces</t>
  </si>
  <si>
    <t>shtesa +</t>
  </si>
  <si>
    <t>paksime -</t>
  </si>
  <si>
    <t>Prodh.per qellimin e vet  dhe per kapital</t>
  </si>
  <si>
    <t xml:space="preserve">nga I cili : Prodhim I aktiveve afatgjate </t>
  </si>
  <si>
    <t>Te ardhura nga grantet ( subvensionet)</t>
  </si>
  <si>
    <t>Te tjera</t>
  </si>
  <si>
    <t>Te ardhura nga shitje Aktiveve afatgjate</t>
  </si>
  <si>
    <t>Totali I te ardhurave =(1+2+/-3+4+5+6+7)</t>
  </si>
  <si>
    <t>shenim: Tek zeri te tjera sqorojme :</t>
  </si>
  <si>
    <t xml:space="preserve">33.836.909 leke jane donacion dhene Bashkise Tirane </t>
  </si>
  <si>
    <t xml:space="preserve">11.746.581 eshte vlera makineri derguar perkohesisht ne filianin tone ne kosove </t>
  </si>
  <si>
    <t xml:space="preserve">                   makineri te cilat jane rikthyer brenda vitit </t>
  </si>
  <si>
    <t xml:space="preserve">10.300.654  eshte vlera e autofaturave te prera dhe regjistruar dhe ne blerje dhe ne shitje </t>
  </si>
  <si>
    <t xml:space="preserve">per te cilat eshte mbajtur tatim ne burim dhe derdhur brenda vitit </t>
  </si>
  <si>
    <t>transport brenshem</t>
  </si>
  <si>
    <t>konsulence alberto</t>
  </si>
  <si>
    <t xml:space="preserve">sherbim roje private </t>
  </si>
  <si>
    <t>shtypshkrime</t>
  </si>
  <si>
    <t>internet</t>
  </si>
  <si>
    <t>bojra printeri</t>
  </si>
  <si>
    <t>kontroll kase</t>
  </si>
  <si>
    <t>vlersim pasurie</t>
  </si>
  <si>
    <t>dhl+sherbim doganor</t>
  </si>
  <si>
    <t>ekspertiza 2011  mbyllje bilanci</t>
  </si>
  <si>
    <t>xingime</t>
  </si>
  <si>
    <t xml:space="preserve"> reklama</t>
  </si>
  <si>
    <t>shkelqys gjethesh</t>
  </si>
  <si>
    <t xml:space="preserve">noterizime stampime </t>
  </si>
  <si>
    <t>riparime hidrosanitare</t>
  </si>
  <si>
    <t>mat konsumi</t>
  </si>
  <si>
    <t xml:space="preserve">komisione bankare </t>
  </si>
  <si>
    <t>riparim makinerie</t>
  </si>
  <si>
    <t xml:space="preserve">qera dyqani </t>
  </si>
  <si>
    <t xml:space="preserve">shpenzime telefonike </t>
  </si>
  <si>
    <t>sponsorim bashkia</t>
  </si>
  <si>
    <t>vlera kontabile e aktiveve te shitura</t>
  </si>
  <si>
    <t>taksat  e te ngjashme</t>
  </si>
  <si>
    <t>djeta</t>
  </si>
  <si>
    <t>keshi  + nafta</t>
  </si>
  <si>
    <t>T o t a l i</t>
  </si>
  <si>
    <t>e m e r t i m i</t>
  </si>
  <si>
    <t xml:space="preserve">data </t>
  </si>
  <si>
    <t>njesia</t>
  </si>
  <si>
    <t>cmimi</t>
  </si>
  <si>
    <t>vlefta</t>
  </si>
  <si>
    <t>amortizimi</t>
  </si>
  <si>
    <t xml:space="preserve">norma </t>
  </si>
  <si>
    <t>rend</t>
  </si>
  <si>
    <t>makinerive</t>
  </si>
  <si>
    <t>blerjes</t>
  </si>
  <si>
    <t>fillestare</t>
  </si>
  <si>
    <t>akomuluar</t>
  </si>
  <si>
    <t>mbetur</t>
  </si>
  <si>
    <t>amortiz.</t>
  </si>
  <si>
    <t>vjetor</t>
  </si>
  <si>
    <t>sera</t>
  </si>
  <si>
    <t>rivl sera</t>
  </si>
  <si>
    <t>share elektrike</t>
  </si>
  <si>
    <t>21.05.01</t>
  </si>
  <si>
    <t>cop</t>
  </si>
  <si>
    <t>panela druri</t>
  </si>
  <si>
    <t>22.05.01</t>
  </si>
  <si>
    <t>shkalle</t>
  </si>
  <si>
    <t>30.07.01</t>
  </si>
  <si>
    <t>saldatrice</t>
  </si>
  <si>
    <t>gjenerator</t>
  </si>
  <si>
    <t>31.08.01</t>
  </si>
  <si>
    <t>trapan</t>
  </si>
  <si>
    <t>matrapik</t>
  </si>
  <si>
    <t>pompe</t>
  </si>
  <si>
    <t>12.03.01</t>
  </si>
  <si>
    <t>pompe shytese</t>
  </si>
  <si>
    <t>25.07.01</t>
  </si>
  <si>
    <t>rezervuar</t>
  </si>
  <si>
    <t>15.11.01</t>
  </si>
  <si>
    <t>sera + aksesoret</t>
  </si>
  <si>
    <t>14.09.01</t>
  </si>
  <si>
    <t>furgon fiat</t>
  </si>
  <si>
    <t>16.12.01</t>
  </si>
  <si>
    <t>vinc kollone  8/k/f</t>
  </si>
  <si>
    <t>05.11.01</t>
  </si>
  <si>
    <t>vinc kollone 10/k/f</t>
  </si>
  <si>
    <t>karel levizes</t>
  </si>
  <si>
    <t>30.10.01</t>
  </si>
  <si>
    <t xml:space="preserve">pllaka druri dyshemeje </t>
  </si>
  <si>
    <t>03.11.01</t>
  </si>
  <si>
    <t>11.04.02</t>
  </si>
  <si>
    <t>25.04.02</t>
  </si>
  <si>
    <t>betonjere</t>
  </si>
  <si>
    <t>15.02.02</t>
  </si>
  <si>
    <t>transformator fuqie</t>
  </si>
  <si>
    <t>17.01.02</t>
  </si>
  <si>
    <t>kabina elektrike</t>
  </si>
  <si>
    <t>24.01.02</t>
  </si>
  <si>
    <t>pompa uji</t>
  </si>
  <si>
    <t>03.07.02</t>
  </si>
  <si>
    <t>04.07.03</t>
  </si>
  <si>
    <t>23.07.03</t>
  </si>
  <si>
    <t>14.07.07</t>
  </si>
  <si>
    <t>11.10.07</t>
  </si>
  <si>
    <t>01.11.07</t>
  </si>
  <si>
    <t>01.06.07</t>
  </si>
  <si>
    <t>27.02.07</t>
  </si>
  <si>
    <t>BMW  X5</t>
  </si>
  <si>
    <t>11.08.08</t>
  </si>
  <si>
    <t>makine mbjellese Botton TM35</t>
  </si>
  <si>
    <t>Trattore Valpadana</t>
  </si>
  <si>
    <t>Range Rover Sport 2.7 HSE</t>
  </si>
  <si>
    <t>paisje per vaditje</t>
  </si>
  <si>
    <t>25.01.08</t>
  </si>
  <si>
    <t xml:space="preserve">kaldaje </t>
  </si>
  <si>
    <t>paisje per sera m2.640dhe lulu 1800kg</t>
  </si>
  <si>
    <t>softuar</t>
  </si>
  <si>
    <t>12.11.08</t>
  </si>
  <si>
    <t>kasa fiskale</t>
  </si>
  <si>
    <t>25.06.08</t>
  </si>
  <si>
    <t>situacion punimesh</t>
  </si>
  <si>
    <t>30.09.08</t>
  </si>
  <si>
    <t>Banco x invaso 135x66 piccolo</t>
  </si>
  <si>
    <t>Botte per trattamenti + access.(bot sper</t>
  </si>
  <si>
    <t>Carretta 2 ruote sponde</t>
  </si>
  <si>
    <t>Filter gard system GMF 15</t>
  </si>
  <si>
    <t>Generatore aria caldo mobile mod. EC 25</t>
  </si>
  <si>
    <t>Generatore aria caldo mod.Jumbo 65 T</t>
  </si>
  <si>
    <t>Motorino gonfiaggio con temporizzatore</t>
  </si>
  <si>
    <t>Trattrice agricola fiat 70/66 (traktor)</t>
  </si>
  <si>
    <t>Sistemi filtrimit</t>
  </si>
  <si>
    <t>Pompa da irrigazione (pompe uji)</t>
  </si>
  <si>
    <t>Rollo per prati mod. Vergani</t>
  </si>
  <si>
    <t>Scaffalattura per attrezzi (raft)</t>
  </si>
  <si>
    <t>Tavolo per cernita ortaggi (tavoline)</t>
  </si>
  <si>
    <t>04.11.2009</t>
  </si>
  <si>
    <t>16.09.09</t>
  </si>
  <si>
    <t>05.01.2010</t>
  </si>
  <si>
    <t>12.03.10</t>
  </si>
  <si>
    <t>motokompresor ajri  perd</t>
  </si>
  <si>
    <t>02.05.11</t>
  </si>
  <si>
    <t>cekic shpues me ajer</t>
  </si>
  <si>
    <t>18.07.11</t>
  </si>
  <si>
    <t>kompresor ajri</t>
  </si>
  <si>
    <t>30.07.11</t>
  </si>
  <si>
    <t>mai motor mix pomp atlas copco</t>
  </si>
  <si>
    <t>wb 30xt   (  pompe pyet vilmen )</t>
  </si>
  <si>
    <t>08.08.11</t>
  </si>
  <si>
    <t>motokultivator</t>
  </si>
  <si>
    <t>20.08.11</t>
  </si>
  <si>
    <t>motoshare me benzine</t>
  </si>
  <si>
    <t>28.08.11</t>
  </si>
  <si>
    <t xml:space="preserve">modem, </t>
  </si>
  <si>
    <t>31.08.11</t>
  </si>
  <si>
    <t>cikrik elektrik</t>
  </si>
  <si>
    <t>02.09.11</t>
  </si>
  <si>
    <t>kondicioner</t>
  </si>
  <si>
    <t>04.08.11</t>
  </si>
  <si>
    <t>tavoline pune  160 smart</t>
  </si>
  <si>
    <t>10.09.11</t>
  </si>
  <si>
    <t>tav pvc  80x80</t>
  </si>
  <si>
    <t>hark lidhes 80x80</t>
  </si>
  <si>
    <t>karike fixe</t>
  </si>
  <si>
    <t>karike me rota</t>
  </si>
  <si>
    <t>tav pic   80x80</t>
  </si>
  <si>
    <t>sirtariere</t>
  </si>
  <si>
    <t>dollap 83x42x85</t>
  </si>
  <si>
    <t>06.10.11</t>
  </si>
  <si>
    <t>tavoline mbedhje 220x110</t>
  </si>
  <si>
    <t>rafte pa rota</t>
  </si>
  <si>
    <t>rafte me rota</t>
  </si>
  <si>
    <t>30.09.11</t>
  </si>
  <si>
    <t>pompe + rekorderi</t>
  </si>
  <si>
    <t>07.11.11</t>
  </si>
  <si>
    <t>autoveture misubishi</t>
  </si>
  <si>
    <t>19.11.11</t>
  </si>
  <si>
    <t>furgon vito</t>
  </si>
  <si>
    <t xml:space="preserve">hynndai </t>
  </si>
  <si>
    <t>21.11.11</t>
  </si>
  <si>
    <t>land rover</t>
  </si>
  <si>
    <t>pirun ngrites</t>
  </si>
  <si>
    <t>06.12.11</t>
  </si>
  <si>
    <t>02.12.11</t>
  </si>
  <si>
    <t>telefona</t>
  </si>
  <si>
    <t>17.12.11</t>
  </si>
  <si>
    <t>kompjutri klodi</t>
  </si>
  <si>
    <t>teelefon nocia</t>
  </si>
  <si>
    <t>19.12.11</t>
  </si>
  <si>
    <t>Cekic Ajri 571</t>
  </si>
  <si>
    <t>05.12.2011</t>
  </si>
  <si>
    <t xml:space="preserve">mot.ngjeshje dheu    rul </t>
  </si>
  <si>
    <t>14.12.2011</t>
  </si>
  <si>
    <t>pompa uji per lulishte</t>
  </si>
  <si>
    <t>22.02.11</t>
  </si>
  <si>
    <t>10.06.11</t>
  </si>
  <si>
    <t>makin mbjellje bari</t>
  </si>
  <si>
    <t>05.08.11</t>
  </si>
  <si>
    <t>17.09.11</t>
  </si>
  <si>
    <t>Makineri cpim hidraulike vetlevizese pe token ROC D7C</t>
  </si>
  <si>
    <t>07.10.11</t>
  </si>
  <si>
    <t>pompe ujitje +770 cop aksesore</t>
  </si>
  <si>
    <t>17.10.11</t>
  </si>
  <si>
    <t xml:space="preserve">paisje per vendosje rjete </t>
  </si>
  <si>
    <t>22.10.11</t>
  </si>
  <si>
    <t>paisje per ujitje</t>
  </si>
  <si>
    <t>14.11.11</t>
  </si>
  <si>
    <t>kaldaje</t>
  </si>
  <si>
    <t>28.11.11</t>
  </si>
  <si>
    <t xml:space="preserve">paisje ngrohje sera </t>
  </si>
  <si>
    <t>zyra e re</t>
  </si>
  <si>
    <t>12.2011</t>
  </si>
  <si>
    <t>17.05.12</t>
  </si>
  <si>
    <t>kamjoncine mercedes benc</t>
  </si>
  <si>
    <t>printer</t>
  </si>
  <si>
    <t>10.01.12</t>
  </si>
  <si>
    <t>monitor</t>
  </si>
  <si>
    <t>03.01.12</t>
  </si>
  <si>
    <t>22.02.12</t>
  </si>
  <si>
    <t>cekic cpues</t>
  </si>
  <si>
    <t>29.02.12</t>
  </si>
  <si>
    <t>Compresor atlas copco 106xAHS</t>
  </si>
  <si>
    <t>paisje zyre</t>
  </si>
  <si>
    <t>24.02.12</t>
  </si>
  <si>
    <t>05.06.12</t>
  </si>
  <si>
    <t>autoveture cintroen</t>
  </si>
  <si>
    <t>11.06.12</t>
  </si>
  <si>
    <t>njesi qendrore</t>
  </si>
  <si>
    <t>27.08.12</t>
  </si>
  <si>
    <t>09.08.12</t>
  </si>
  <si>
    <t>impjanti ujit</t>
  </si>
  <si>
    <t>03.08.12</t>
  </si>
  <si>
    <t>kompjuter</t>
  </si>
  <si>
    <t>28.09.12</t>
  </si>
  <si>
    <t>lapton</t>
  </si>
  <si>
    <t>25.09.12</t>
  </si>
  <si>
    <t>03.10.12</t>
  </si>
  <si>
    <t>17.10.12</t>
  </si>
  <si>
    <t>15.11.12</t>
  </si>
  <si>
    <t>tv</t>
  </si>
  <si>
    <t>17.11.12</t>
  </si>
  <si>
    <t>fotokopje</t>
  </si>
  <si>
    <t>24.12.12</t>
  </si>
  <si>
    <t>29.12.12</t>
  </si>
  <si>
    <t>mak cpimi</t>
  </si>
  <si>
    <t>08.05.12</t>
  </si>
  <si>
    <t>mak per injektim cimento</t>
  </si>
  <si>
    <t xml:space="preserve">autokaro e perdorur </t>
  </si>
  <si>
    <t>19.06.12</t>
  </si>
  <si>
    <t xml:space="preserve">pirun vetlevizes perd tip gz 450 zm2 </t>
  </si>
  <si>
    <t>27.07.12</t>
  </si>
  <si>
    <t>kaldaja per sera + aksesore</t>
  </si>
  <si>
    <t>03.11.12</t>
  </si>
  <si>
    <t>furgoni bl.ne privat</t>
  </si>
  <si>
    <t>PASQYRA E AMORTIZIMIT GARDEN LINE 2012</t>
  </si>
  <si>
    <t xml:space="preserve">SHENIMET          SHPJESUESE </t>
  </si>
  <si>
    <r>
      <rPr>
        <b/>
        <i/>
        <sz val="12"/>
        <rFont val="Times New Roman"/>
        <family val="1"/>
      </rPr>
      <t>1.-</t>
    </r>
    <r>
      <rPr>
        <i/>
        <sz val="12"/>
        <rFont val="Times New Roman"/>
        <family val="1"/>
      </rPr>
      <t xml:space="preserve"> Pasqyrat financiare jane pergatitur ne perputhje me standartet raportuese financiare kombetare</t>
    </r>
  </si>
  <si>
    <t>Shoqeria ka pergatitur pasqyrat financiare duke zbatuar ligjet fiskale dhe regullat e vendosurane</t>
  </si>
  <si>
    <t>statutin e saj.Ato pasqyrahen ne leke ,jane pergatitur ne baze te kostos historike</t>
  </si>
  <si>
    <t>Ato japin nje paraqitje te vertete te pozicionit financiar,performances financiare  dhe fluksit</t>
  </si>
  <si>
    <t>te parase me 31.12.2012</t>
  </si>
  <si>
    <r>
      <rPr>
        <b/>
        <i/>
        <sz val="12"/>
        <rFont val="Times New Roman"/>
        <family val="1"/>
      </rPr>
      <t>3.-</t>
    </r>
    <r>
      <rPr>
        <i/>
        <sz val="12"/>
        <rFont val="Times New Roman"/>
        <family val="1"/>
      </rPr>
      <t xml:space="preserve"> Pasqyrave  perkatese  I jane bashkangjitur dhe treguesit  financiar te Deges  se</t>
    </r>
  </si>
  <si>
    <t xml:space="preserve">Shoqerise Garden Line ne Kosove </t>
  </si>
  <si>
    <t>Kemi pergatitur pasqyrat financiare per shoq.meme ne Tirane dhe pasqyrat e konsoliduara</t>
  </si>
  <si>
    <t>duke paassqyruar dhe aktivitetin e deges tone ne Kososve</t>
  </si>
  <si>
    <t>5.- Ne pasqyrat financiare, ne koston e mallrave  , vlera e transportit  eshte renduar vetem</t>
  </si>
  <si>
    <t xml:space="preserve">nje here me transportin ne import </t>
  </si>
  <si>
    <t>Bilanci paraqet informacion mbi aktivet ,pasivet,dhe kapitalin</t>
  </si>
  <si>
    <t>Pasqyra e te ardhurave dhe shpenzimeve  paraqet performancen e shoqerise per periudhen kontabile</t>
  </si>
  <si>
    <t>Kjo pasqyre eshte e ndertuar ne menyre te atille qe te japi nje informacion te sakte te rezultatit neto</t>
  </si>
  <si>
    <t>Ne kete pasqyre te ardhurat dhe shpenzimet klasifikohen ne baze te natyres (lende e pare,personeli</t>
  </si>
  <si>
    <t>amortizime e tjer.)</t>
  </si>
  <si>
    <t>Pasqyra efluksit te parave tregon hyrjen dhe daljen e parase ne fund te periudhes kontabile,te cilat</t>
  </si>
  <si>
    <t>raportohen te klasifikuara sipas qellimit te ndara ne flux parash nga veprimtaria e shfrytzimit,</t>
  </si>
  <si>
    <t>investimit dhe financiare</t>
  </si>
  <si>
    <t>Pasqyra e ndryshimit te kapitalit pasqyron  te gjitha ndryshimet qe kane ndodhugjate nje periudhe</t>
  </si>
  <si>
    <t>kontabile</t>
  </si>
  <si>
    <t>INVENTARET</t>
  </si>
  <si>
    <t xml:space="preserve">Kostoja e inventareve perfshin : koston e blerjes plus shenzimet deri ne magazine </t>
  </si>
  <si>
    <t>perdoret metoda FIFO  hyrja e pare dalja e pare</t>
  </si>
  <si>
    <t>AKTIVET AFAT GJATA</t>
  </si>
  <si>
    <t>Aktivi eshte vlersuar me koston e blerjes</t>
  </si>
  <si>
    <t>Ne fund te periudhe gjendja e tyre paraqitet me vleren e mbetur</t>
  </si>
  <si>
    <t>TE gjitha pasqyrat financiare jane te rakorduara</t>
  </si>
  <si>
    <t xml:space="preserve">Interesat nga likujdimi I kredise jane perfshere ne kosto te barabarta me 4 herekapetalin dhe brenda </t>
  </si>
  <si>
    <t xml:space="preserve">normes se interesit te miratuar nga Banka e Shqiperise  kurse pjesa tjeter eshte konsideruar </t>
  </si>
  <si>
    <t>si shpenzim I pa zbritshemdhe eshte zbritur nga tatimi mbas llog.se tatim fitimit</t>
  </si>
  <si>
    <t>pergjendjen e llog. Bankare ne fund eshte bere dhe influenca e ndryshimit te kursit te kembimit per</t>
  </si>
  <si>
    <t>llog.ne valute e cila ka kaluar ne rezultat</t>
  </si>
  <si>
    <t>Ermira  SALIAJ</t>
  </si>
  <si>
    <t>SHENIMET   SHPJEGUESE</t>
  </si>
  <si>
    <t xml:space="preserve">Disa shpjegime shtese  </t>
  </si>
  <si>
    <t>1.- Te ardhura e shoqerise sipas situates Financiare te raportuar ne Degen</t>
  </si>
  <si>
    <t xml:space="preserve">e tatimeve eshte 729.109.002 leke </t>
  </si>
  <si>
    <t>nga e rdhur perbehet nga  :</t>
  </si>
  <si>
    <t xml:space="preserve">a.-te ardhura nga shitja e aktivitetit             </t>
  </si>
  <si>
    <t xml:space="preserve">b.-Te ardhura nga shitja e aktiveve afat gjate </t>
  </si>
  <si>
    <t xml:space="preserve">c.-donacion Bashkia Tirane </t>
  </si>
  <si>
    <t>d.-eksporti i makinerive te derguara ne filialin tone n</t>
  </si>
  <si>
    <t xml:space="preserve">   ne Kosove kthimi i te cilave eshte bere brenda vitit</t>
  </si>
  <si>
    <t xml:space="preserve">per keto eshte prere fat shitje </t>
  </si>
  <si>
    <t xml:space="preserve">e.-vlera e autofaturave te regjistruara dhe ne </t>
  </si>
  <si>
    <t xml:space="preserve">liber blerje dhe shitje  </t>
  </si>
  <si>
    <t xml:space="preserve">Totali  te ardhurave </t>
  </si>
  <si>
    <t>Ne zerin e shpenzimeve te pazbritshme jane  paraqitur:</t>
  </si>
  <si>
    <t xml:space="preserve">Penalitete </t>
  </si>
  <si>
    <t>Vlera e donacionit dhene Bashkise Tirane minus 3% e renduar ne kosto</t>
  </si>
  <si>
    <t xml:space="preserve">Si dhe vlera e shpenzimeve pa fatura te regullta tatimore  </t>
  </si>
  <si>
    <t xml:space="preserve">Ne zerin Shpenzime akomodimi paraqiten shpenzimet e kryera per </t>
  </si>
  <si>
    <t xml:space="preserve">punonjesit tone qe punojne ne Kantjeret  ne Ibe .dhe ne Rugen e Tepelenes </t>
  </si>
  <si>
    <t>Ermira Saliaj</t>
  </si>
  <si>
    <t>Emri dhe forma ligjore</t>
  </si>
  <si>
    <t xml:space="preserve">GARDEN LINE </t>
  </si>
  <si>
    <t>Sh.p.k</t>
  </si>
  <si>
    <t>Nipti</t>
  </si>
  <si>
    <t>K 11427004 I</t>
  </si>
  <si>
    <t xml:space="preserve">Adresa e selise </t>
  </si>
  <si>
    <t xml:space="preserve">VORE    MARIKAJ </t>
  </si>
  <si>
    <t xml:space="preserve">        </t>
  </si>
  <si>
    <t xml:space="preserve">Tirane </t>
  </si>
  <si>
    <t>Data e krijimit</t>
  </si>
  <si>
    <t>19.03.2001</t>
  </si>
  <si>
    <t>Nr. I Regjistrit tregetar</t>
  </si>
  <si>
    <t>VEPRIMTARIA KRYESORE</t>
  </si>
  <si>
    <t xml:space="preserve">IMP EXP  Bime Dekoratiev </t>
  </si>
  <si>
    <t>Kopshtari   etje.</t>
  </si>
  <si>
    <t xml:space="preserve">PASQYRAT FINANCIARE </t>
  </si>
  <si>
    <t>(Ne zbatim te standartit Kombetar te Kontabilitetit nr 2 dhe ligjit</t>
  </si>
  <si>
    <t>nr 9228 date 29.04.2008 "Per Kontabilitetin dhe Pasqyrat Financiare)</t>
  </si>
  <si>
    <t xml:space="preserve">VITI </t>
  </si>
  <si>
    <t xml:space="preserve">Pasqyrat financiare jane individuale </t>
  </si>
  <si>
    <t>Pasqyrat financiare jane te konsoliduara</t>
  </si>
  <si>
    <t xml:space="preserve">Pasqyrat financiare jane te shprehura ne </t>
  </si>
  <si>
    <t xml:space="preserve">Pasqyrat financiare jane te rumbullakosura ne  </t>
  </si>
  <si>
    <t xml:space="preserve">Periudha Kontabile e Pasqyrave Financiare </t>
  </si>
  <si>
    <t xml:space="preserve">nga </t>
  </si>
  <si>
    <t>deri</t>
  </si>
  <si>
    <t>Data e mbylljes se Pasqyrave Financiare</t>
  </si>
  <si>
    <t>28.03.2013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</si>
</sst>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i/>
      <sz val="16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i/>
      <sz val="11"/>
      <name val="Book Antiqua"/>
      <family val="1"/>
    </font>
    <font>
      <i/>
      <sz val="11"/>
      <name val="Book Antiqu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indexed="8"/>
      <name val="Book Antiqua"/>
      <family val="1"/>
    </font>
    <font>
      <sz val="14"/>
      <name val="Book Antiqua"/>
      <family val="1"/>
    </font>
    <font>
      <b/>
      <u/>
      <sz val="11"/>
      <color indexed="8"/>
      <name val="Book Antiqua"/>
      <family val="1"/>
    </font>
    <font>
      <b/>
      <sz val="11"/>
      <color indexed="8"/>
      <name val="Book Antiqua"/>
      <family val="1"/>
    </font>
    <font>
      <i/>
      <sz val="16"/>
      <name val="Book Antiqua"/>
      <family val="1"/>
    </font>
    <font>
      <sz val="8"/>
      <name val="Book Antiqua"/>
      <family val="1"/>
    </font>
    <font>
      <sz val="11"/>
      <color indexed="62"/>
      <name val="Book Antiqua"/>
      <family val="1"/>
    </font>
    <font>
      <b/>
      <sz val="10"/>
      <name val="Book Antiqua"/>
      <family val="1"/>
    </font>
    <font>
      <b/>
      <sz val="8"/>
      <name val="Book Antiqua"/>
      <family val="1"/>
    </font>
    <font>
      <b/>
      <i/>
      <sz val="14"/>
      <name val="Book Antiqua"/>
      <family val="1"/>
    </font>
    <font>
      <b/>
      <i/>
      <sz val="14"/>
      <color indexed="8"/>
      <name val="Book Antiqua"/>
      <family val="1"/>
    </font>
    <font>
      <b/>
      <i/>
      <sz val="8"/>
      <name val="Book Antiqua"/>
      <family val="1"/>
    </font>
    <font>
      <sz val="14"/>
      <color indexed="8"/>
      <name val="Book Antiqua"/>
      <family val="1"/>
    </font>
    <font>
      <sz val="10"/>
      <name val="Book Antiqua"/>
      <family val="1"/>
    </font>
    <font>
      <b/>
      <sz val="10"/>
      <color indexed="8"/>
      <name val="Arial"/>
      <family val="2"/>
    </font>
    <font>
      <b/>
      <sz val="10"/>
      <color indexed="5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MS Sans Serif"/>
      <family val="2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sz val="10"/>
      <color indexed="9"/>
      <name val="Book Antiqua"/>
      <family val="1"/>
    </font>
    <font>
      <b/>
      <sz val="10"/>
      <color indexed="56"/>
      <name val="Book Antiqua"/>
      <family val="1"/>
    </font>
    <font>
      <i/>
      <sz val="10"/>
      <name val="Book Antiqua"/>
      <family val="1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9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b/>
      <i/>
      <sz val="10"/>
      <name val="Arial"/>
      <family val="2"/>
    </font>
    <font>
      <b/>
      <sz val="14"/>
      <name val="Book Antiqua"/>
      <family val="1"/>
    </font>
    <font>
      <b/>
      <u/>
      <sz val="10"/>
      <color rgb="FFC00000"/>
      <name val="Book Antiqua"/>
      <family val="1"/>
    </font>
    <font>
      <b/>
      <u val="singleAccounting"/>
      <sz val="10"/>
      <color rgb="FFC00000"/>
      <name val="Book Antiqua"/>
      <family val="1"/>
    </font>
    <font>
      <sz val="10"/>
      <color rgb="FFC00000"/>
      <name val="Book Antiqua"/>
      <family val="1"/>
    </font>
    <font>
      <b/>
      <u/>
      <sz val="8"/>
      <color rgb="FFC00000"/>
      <name val="Book Antiqua"/>
      <family val="1"/>
    </font>
    <font>
      <u/>
      <sz val="8"/>
      <color rgb="FFC00000"/>
      <name val="Book Antiqua"/>
      <family val="1"/>
    </font>
    <font>
      <i/>
      <sz val="12"/>
      <name val="Times New Roman"/>
      <family val="1"/>
    </font>
    <font>
      <b/>
      <i/>
      <sz val="2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i/>
      <sz val="16"/>
      <name val="Times New Roman"/>
      <family val="1"/>
    </font>
    <font>
      <sz val="14"/>
      <name val="Times New Roman"/>
      <family val="1"/>
    </font>
    <font>
      <b/>
      <i/>
      <u/>
      <sz val="14"/>
      <name val="Times New Roman"/>
      <family val="1"/>
    </font>
    <font>
      <u/>
      <sz val="14"/>
      <name val="Times New Roman"/>
      <family val="1"/>
    </font>
    <font>
      <i/>
      <u/>
      <sz val="14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44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3" applyFont="1" applyBorder="1" applyAlignment="1">
      <alignment horizontal="center"/>
    </xf>
    <xf numFmtId="0" fontId="4" fillId="0" borderId="0" xfId="2" applyFont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164" fontId="5" fillId="0" borderId="9" xfId="1" applyNumberFormat="1" applyFont="1" applyBorder="1"/>
    <xf numFmtId="164" fontId="5" fillId="0" borderId="10" xfId="1" applyNumberFormat="1" applyFont="1" applyBorder="1"/>
    <xf numFmtId="0" fontId="5" fillId="0" borderId="7" xfId="2" applyFont="1" applyBorder="1"/>
    <xf numFmtId="0" fontId="6" fillId="0" borderId="8" xfId="2" applyFont="1" applyBorder="1"/>
    <xf numFmtId="0" fontId="5" fillId="0" borderId="8" xfId="2" applyFont="1" applyBorder="1"/>
    <xf numFmtId="164" fontId="4" fillId="0" borderId="10" xfId="1" applyNumberFormat="1" applyFont="1" applyBorder="1"/>
    <xf numFmtId="0" fontId="4" fillId="0" borderId="7" xfId="2" applyFont="1" applyBorder="1"/>
    <xf numFmtId="0" fontId="4" fillId="0" borderId="8" xfId="2" applyFont="1" applyBorder="1"/>
    <xf numFmtId="164" fontId="4" fillId="0" borderId="9" xfId="1" applyNumberFormat="1" applyFont="1" applyBorder="1"/>
    <xf numFmtId="0" fontId="6" fillId="0" borderId="9" xfId="2" applyFont="1" applyBorder="1"/>
    <xf numFmtId="0" fontId="5" fillId="0" borderId="0" xfId="2" applyFont="1" applyBorder="1"/>
    <xf numFmtId="164" fontId="4" fillId="0" borderId="9" xfId="1" applyNumberFormat="1" applyFont="1" applyFill="1" applyBorder="1"/>
    <xf numFmtId="0" fontId="4" fillId="0" borderId="11" xfId="2" applyFont="1" applyBorder="1"/>
    <xf numFmtId="0" fontId="5" fillId="0" borderId="12" xfId="2" applyFont="1" applyBorder="1"/>
    <xf numFmtId="3" fontId="4" fillId="0" borderId="13" xfId="2" applyNumberFormat="1" applyFont="1" applyBorder="1"/>
    <xf numFmtId="3" fontId="4" fillId="0" borderId="14" xfId="2" applyNumberFormat="1" applyFont="1" applyBorder="1"/>
    <xf numFmtId="0" fontId="4" fillId="0" borderId="0" xfId="3" applyFont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164" fontId="5" fillId="0" borderId="5" xfId="1" applyNumberFormat="1" applyFont="1" applyBorder="1"/>
    <xf numFmtId="164" fontId="5" fillId="0" borderId="6" xfId="1" applyNumberFormat="1" applyFont="1" applyBorder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 applyAlignment="1">
      <alignment horizontal="left"/>
    </xf>
    <xf numFmtId="0" fontId="5" fillId="0" borderId="16" xfId="3" applyFont="1" applyBorder="1" applyAlignment="1">
      <alignment horizontal="center"/>
    </xf>
    <xf numFmtId="0" fontId="4" fillId="0" borderId="8" xfId="3" applyFont="1" applyBorder="1"/>
    <xf numFmtId="0" fontId="5" fillId="0" borderId="8" xfId="3" applyFont="1" applyBorder="1" applyAlignment="1">
      <alignment horizontal="center"/>
    </xf>
    <xf numFmtId="0" fontId="5" fillId="0" borderId="16" xfId="3" applyFont="1" applyBorder="1"/>
    <xf numFmtId="0" fontId="4" fillId="0" borderId="9" xfId="3" applyFont="1" applyBorder="1" applyAlignment="1">
      <alignment horizontal="left"/>
    </xf>
    <xf numFmtId="0" fontId="3" fillId="0" borderId="0" xfId="3" applyFont="1" applyFill="1" applyAlignment="1"/>
    <xf numFmtId="0" fontId="3" fillId="0" borderId="0" xfId="3" applyFont="1" applyFill="1" applyAlignment="1">
      <alignment horizontal="center"/>
    </xf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4" fillId="0" borderId="17" xfId="3" applyFont="1" applyFill="1" applyBorder="1" applyAlignment="1">
      <alignment horizontal="center"/>
    </xf>
    <xf numFmtId="0" fontId="5" fillId="0" borderId="17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5" xfId="3" applyFont="1" applyFill="1" applyBorder="1" applyAlignment="1"/>
    <xf numFmtId="164" fontId="5" fillId="0" borderId="5" xfId="1" applyNumberFormat="1" applyFont="1" applyFill="1" applyBorder="1"/>
    <xf numFmtId="0" fontId="4" fillId="0" borderId="8" xfId="3" applyFont="1" applyFill="1" applyBorder="1" applyAlignment="1"/>
    <xf numFmtId="0" fontId="4" fillId="0" borderId="9" xfId="3" applyFont="1" applyFill="1" applyBorder="1" applyAlignment="1"/>
    <xf numFmtId="164" fontId="5" fillId="0" borderId="9" xfId="1" applyNumberFormat="1" applyFont="1" applyFill="1" applyBorder="1"/>
    <xf numFmtId="0" fontId="7" fillId="0" borderId="8" xfId="3" applyFont="1" applyFill="1" applyBorder="1" applyAlignment="1"/>
    <xf numFmtId="0" fontId="7" fillId="0" borderId="8" xfId="3" applyFont="1" applyFill="1" applyBorder="1" applyAlignment="1">
      <alignment horizontal="center"/>
    </xf>
    <xf numFmtId="0" fontId="4" fillId="0" borderId="9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/>
    </xf>
    <xf numFmtId="0" fontId="5" fillId="0" borderId="8" xfId="3" applyFont="1" applyFill="1" applyBorder="1" applyAlignme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Border="1"/>
    <xf numFmtId="0" fontId="13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8" xfId="0" applyFont="1" applyBorder="1" applyAlignment="1">
      <alignment horizontal="center"/>
    </xf>
    <xf numFmtId="0" fontId="4" fillId="0" borderId="17" xfId="0" applyFont="1" applyBorder="1"/>
    <xf numFmtId="164" fontId="4" fillId="0" borderId="17" xfId="1" applyNumberFormat="1" applyFont="1" applyBorder="1"/>
    <xf numFmtId="164" fontId="4" fillId="0" borderId="0" xfId="1" applyNumberFormat="1" applyFont="1" applyBorder="1"/>
    <xf numFmtId="0" fontId="4" fillId="0" borderId="9" xfId="0" applyFont="1" applyFill="1" applyBorder="1"/>
    <xf numFmtId="0" fontId="4" fillId="0" borderId="19" xfId="0" applyFont="1" applyFill="1" applyBorder="1"/>
    <xf numFmtId="0" fontId="13" fillId="0" borderId="17" xfId="0" applyFont="1" applyFill="1" applyBorder="1"/>
    <xf numFmtId="164" fontId="5" fillId="0" borderId="17" xfId="1" applyNumberFormat="1" applyFont="1" applyBorder="1"/>
    <xf numFmtId="0" fontId="4" fillId="0" borderId="20" xfId="0" applyFont="1" applyFill="1" applyBorder="1" applyAlignment="1">
      <alignment horizontal="center"/>
    </xf>
    <xf numFmtId="0" fontId="13" fillId="0" borderId="9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21" xfId="0" applyFont="1" applyBorder="1" applyAlignment="1">
      <alignment horizontal="center"/>
    </xf>
    <xf numFmtId="0" fontId="4" fillId="0" borderId="17" xfId="0" applyFont="1" applyFill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3" xfId="0" applyFont="1" applyFill="1" applyBorder="1" applyAlignment="1">
      <alignment horizontal="left"/>
    </xf>
    <xf numFmtId="164" fontId="5" fillId="0" borderId="13" xfId="1" applyNumberFormat="1" applyFont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6" fillId="0" borderId="17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6" xfId="2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164" fontId="4" fillId="0" borderId="8" xfId="1" applyNumberFormat="1" applyFont="1" applyBorder="1"/>
    <xf numFmtId="164" fontId="15" fillId="0" borderId="0" xfId="0" applyNumberFormat="1" applyFont="1"/>
    <xf numFmtId="164" fontId="5" fillId="0" borderId="8" xfId="1" applyNumberFormat="1" applyFont="1" applyBorder="1"/>
    <xf numFmtId="164" fontId="4" fillId="0" borderId="8" xfId="1" applyNumberFormat="1" applyFont="1" applyFill="1" applyBorder="1"/>
    <xf numFmtId="3" fontId="4" fillId="0" borderId="12" xfId="2" applyNumberFormat="1" applyFont="1" applyBorder="1"/>
    <xf numFmtId="0" fontId="4" fillId="0" borderId="0" xfId="2" applyFont="1" applyBorder="1"/>
    <xf numFmtId="3" fontId="4" fillId="0" borderId="0" xfId="2" applyNumberFormat="1" applyFont="1" applyBorder="1"/>
    <xf numFmtId="0" fontId="15" fillId="0" borderId="0" xfId="0" applyFont="1" applyBorder="1"/>
    <xf numFmtId="0" fontId="16" fillId="0" borderId="0" xfId="2" applyFont="1" applyBorder="1"/>
    <xf numFmtId="0" fontId="5" fillId="0" borderId="0" xfId="2" applyFont="1" applyBorder="1" applyAlignment="1">
      <alignment horizontal="center"/>
    </xf>
    <xf numFmtId="3" fontId="5" fillId="0" borderId="0" xfId="2" applyNumberFormat="1" applyFont="1" applyBorder="1"/>
    <xf numFmtId="0" fontId="6" fillId="0" borderId="5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164" fontId="5" fillId="0" borderId="26" xfId="1" applyNumberFormat="1" applyFont="1" applyBorder="1"/>
    <xf numFmtId="0" fontId="17" fillId="0" borderId="7" xfId="3" applyFont="1" applyBorder="1"/>
    <xf numFmtId="164" fontId="4" fillId="0" borderId="26" xfId="1" applyNumberFormat="1" applyFont="1" applyBorder="1"/>
    <xf numFmtId="0" fontId="17" fillId="0" borderId="7" xfId="3" applyFont="1" applyBorder="1" applyAlignment="1">
      <alignment horizontal="center"/>
    </xf>
    <xf numFmtId="0" fontId="5" fillId="0" borderId="0" xfId="3" applyFont="1" applyBorder="1"/>
    <xf numFmtId="164" fontId="5" fillId="0" borderId="0" xfId="3" applyNumberFormat="1" applyFont="1" applyBorder="1"/>
    <xf numFmtId="165" fontId="4" fillId="0" borderId="0" xfId="3" applyNumberFormat="1" applyFont="1" applyBorder="1"/>
    <xf numFmtId="165" fontId="5" fillId="0" borderId="0" xfId="3" applyNumberFormat="1" applyFont="1" applyBorder="1"/>
    <xf numFmtId="0" fontId="4" fillId="0" borderId="0" xfId="3" applyFont="1" applyBorder="1"/>
    <xf numFmtId="0" fontId="4" fillId="0" borderId="0" xfId="3" applyFont="1"/>
    <xf numFmtId="0" fontId="4" fillId="0" borderId="9" xfId="3" applyFont="1" applyBorder="1" applyAlignment="1">
      <alignment horizontal="center"/>
    </xf>
    <xf numFmtId="0" fontId="4" fillId="0" borderId="5" xfId="3" applyFont="1" applyBorder="1" applyAlignment="1"/>
    <xf numFmtId="0" fontId="4" fillId="0" borderId="8" xfId="3" applyFont="1" applyBorder="1" applyAlignment="1"/>
    <xf numFmtId="0" fontId="4" fillId="0" borderId="9" xfId="3" applyFont="1" applyBorder="1" applyAlignment="1"/>
    <xf numFmtId="0" fontId="7" fillId="0" borderId="8" xfId="3" applyFont="1" applyBorder="1" applyAlignment="1"/>
    <xf numFmtId="0" fontId="7" fillId="0" borderId="8" xfId="3" applyFont="1" applyBorder="1" applyAlignment="1">
      <alignment horizontal="center"/>
    </xf>
    <xf numFmtId="0" fontId="4" fillId="0" borderId="9" xfId="3" applyNumberFormat="1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/>
    <xf numFmtId="0" fontId="18" fillId="0" borderId="0" xfId="0" applyFont="1"/>
    <xf numFmtId="0" fontId="19" fillId="0" borderId="0" xfId="0" applyFont="1"/>
    <xf numFmtId="164" fontId="18" fillId="0" borderId="0" xfId="1" applyNumberFormat="1" applyFont="1"/>
    <xf numFmtId="164" fontId="15" fillId="0" borderId="0" xfId="1" applyNumberFormat="1" applyFont="1"/>
    <xf numFmtId="0" fontId="6" fillId="0" borderId="27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6" fillId="0" borderId="30" xfId="2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6" fillId="0" borderId="5" xfId="3" applyFont="1" applyBorder="1" applyAlignment="1"/>
    <xf numFmtId="0" fontId="4" fillId="0" borderId="8" xfId="3" applyFont="1" applyBorder="1" applyAlignment="1">
      <alignment horizontal="left"/>
    </xf>
    <xf numFmtId="0" fontId="6" fillId="0" borderId="8" xfId="3" applyFont="1" applyBorder="1" applyAlignment="1"/>
    <xf numFmtId="0" fontId="5" fillId="0" borderId="31" xfId="3" applyFont="1" applyBorder="1" applyAlignment="1"/>
    <xf numFmtId="164" fontId="5" fillId="0" borderId="32" xfId="1" applyNumberFormat="1" applyFont="1" applyBorder="1"/>
    <xf numFmtId="164" fontId="4" fillId="0" borderId="31" xfId="1" applyNumberFormat="1" applyFont="1" applyBorder="1"/>
    <xf numFmtId="164" fontId="4" fillId="0" borderId="32" xfId="1" applyNumberFormat="1" applyFont="1" applyBorder="1"/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/>
    <xf numFmtId="164" fontId="4" fillId="0" borderId="13" xfId="1" applyNumberFormat="1" applyFont="1" applyBorder="1"/>
    <xf numFmtId="164" fontId="4" fillId="0" borderId="12" xfId="1" applyNumberFormat="1" applyFont="1" applyBorder="1"/>
    <xf numFmtId="164" fontId="4" fillId="0" borderId="14" xfId="1" applyNumberFormat="1" applyFont="1" applyBorder="1"/>
    <xf numFmtId="0" fontId="4" fillId="0" borderId="0" xfId="3" applyFont="1" applyBorder="1" applyAlignment="1"/>
    <xf numFmtId="0" fontId="4" fillId="0" borderId="0" xfId="3" applyFont="1" applyBorder="1" applyAlignment="1">
      <alignment horizontal="center"/>
    </xf>
    <xf numFmtId="164" fontId="4" fillId="0" borderId="0" xfId="3" applyNumberFormat="1" applyFont="1" applyBorder="1" applyAlignment="1"/>
    <xf numFmtId="0" fontId="5" fillId="0" borderId="0" xfId="3" applyFont="1" applyBorder="1" applyAlignment="1"/>
    <xf numFmtId="0" fontId="22" fillId="0" borderId="0" xfId="0" applyFont="1" applyAlignment="1">
      <alignment horizontal="center"/>
    </xf>
    <xf numFmtId="164" fontId="22" fillId="0" borderId="0" xfId="1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23" fillId="0" borderId="7" xfId="3" applyFont="1" applyBorder="1"/>
    <xf numFmtId="0" fontId="24" fillId="0" borderId="0" xfId="0" applyFont="1" applyAlignment="1"/>
    <xf numFmtId="0" fontId="2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 vertical="justify"/>
    </xf>
    <xf numFmtId="0" fontId="27" fillId="0" borderId="0" xfId="0" applyFont="1" applyAlignment="1">
      <alignment horizontal="center" vertical="justify"/>
    </xf>
    <xf numFmtId="0" fontId="27" fillId="0" borderId="0" xfId="0" applyFont="1"/>
    <xf numFmtId="0" fontId="2" fillId="0" borderId="16" xfId="0" applyFont="1" applyBorder="1"/>
    <xf numFmtId="0" fontId="27" fillId="0" borderId="16" xfId="0" applyFont="1" applyBorder="1"/>
    <xf numFmtId="43" fontId="2" fillId="0" borderId="16" xfId="1" applyFont="1" applyBorder="1"/>
    <xf numFmtId="43" fontId="28" fillId="0" borderId="16" xfId="1" applyFont="1" applyBorder="1"/>
    <xf numFmtId="43" fontId="27" fillId="0" borderId="16" xfId="1" applyFont="1" applyBorder="1"/>
    <xf numFmtId="43" fontId="2" fillId="0" borderId="0" xfId="1" applyFont="1"/>
    <xf numFmtId="43" fontId="27" fillId="0" borderId="0" xfId="1" applyFont="1"/>
    <xf numFmtId="43" fontId="2" fillId="0" borderId="33" xfId="1" applyFont="1" applyBorder="1"/>
    <xf numFmtId="43" fontId="28" fillId="0" borderId="33" xfId="1" applyFont="1" applyBorder="1"/>
    <xf numFmtId="43" fontId="27" fillId="0" borderId="33" xfId="1" applyFont="1" applyBorder="1"/>
    <xf numFmtId="164" fontId="2" fillId="0" borderId="0" xfId="1" applyNumberFormat="1" applyFont="1"/>
    <xf numFmtId="0" fontId="29" fillId="0" borderId="0" xfId="0" applyFont="1" applyAlignment="1"/>
    <xf numFmtId="0" fontId="30" fillId="0" borderId="0" xfId="0" applyFont="1"/>
    <xf numFmtId="0" fontId="30" fillId="0" borderId="0" xfId="0" applyFont="1" applyAlignment="1">
      <alignment horizontal="center"/>
    </xf>
    <xf numFmtId="43" fontId="30" fillId="0" borderId="0" xfId="1" applyFont="1"/>
    <xf numFmtId="43" fontId="30" fillId="0" borderId="0" xfId="1" applyFont="1" applyBorder="1"/>
    <xf numFmtId="0" fontId="31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3" fontId="29" fillId="0" borderId="0" xfId="1" applyFont="1" applyAlignment="1"/>
    <xf numFmtId="0" fontId="17" fillId="0" borderId="0" xfId="0" applyFont="1" applyAlignment="1">
      <alignment horizontal="center"/>
    </xf>
    <xf numFmtId="0" fontId="29" fillId="0" borderId="0" xfId="1" applyNumberFormat="1" applyFont="1" applyAlignment="1">
      <alignment horizontal="center"/>
    </xf>
    <xf numFmtId="0" fontId="17" fillId="0" borderId="0" xfId="1" applyNumberFormat="1" applyFont="1" applyBorder="1" applyAlignment="1">
      <alignment horizontal="center"/>
    </xf>
    <xf numFmtId="0" fontId="17" fillId="0" borderId="0" xfId="1" applyNumberFormat="1" applyFont="1" applyAlignment="1">
      <alignment horizontal="center"/>
    </xf>
    <xf numFmtId="43" fontId="17" fillId="0" borderId="0" xfId="1" applyFont="1" applyAlignment="1">
      <alignment horizontal="center"/>
    </xf>
    <xf numFmtId="43" fontId="17" fillId="0" borderId="0" xfId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17" fillId="0" borderId="0" xfId="0" applyFont="1"/>
    <xf numFmtId="43" fontId="30" fillId="0" borderId="0" xfId="1" applyFont="1" applyAlignment="1">
      <alignment horizontal="left"/>
    </xf>
    <xf numFmtId="0" fontId="30" fillId="0" borderId="0" xfId="0" applyFont="1" applyAlignment="1"/>
    <xf numFmtId="164" fontId="31" fillId="0" borderId="0" xfId="0" applyNumberFormat="1" applyFont="1"/>
    <xf numFmtId="43" fontId="30" fillId="0" borderId="16" xfId="1" applyFont="1" applyBorder="1" applyAlignment="1">
      <alignment horizontal="left"/>
    </xf>
    <xf numFmtId="43" fontId="30" fillId="0" borderId="0" xfId="0" applyNumberFormat="1" applyFont="1"/>
    <xf numFmtId="0" fontId="33" fillId="0" borderId="0" xfId="0" applyFont="1"/>
    <xf numFmtId="43" fontId="29" fillId="0" borderId="16" xfId="1" applyFont="1" applyBorder="1" applyAlignment="1">
      <alignment horizontal="left"/>
    </xf>
    <xf numFmtId="43" fontId="30" fillId="0" borderId="16" xfId="1" applyFont="1" applyBorder="1"/>
    <xf numFmtId="43" fontId="30" fillId="0" borderId="0" xfId="1" applyFont="1" applyBorder="1" applyAlignment="1">
      <alignment horizontal="left"/>
    </xf>
    <xf numFmtId="43" fontId="30" fillId="0" borderId="15" xfId="1" applyFont="1" applyBorder="1" applyAlignment="1">
      <alignment horizontal="left"/>
    </xf>
    <xf numFmtId="43" fontId="30" fillId="0" borderId="15" xfId="1" applyFont="1" applyBorder="1"/>
    <xf numFmtId="43" fontId="32" fillId="0" borderId="33" xfId="1" applyFont="1" applyFill="1" applyBorder="1" applyAlignment="1">
      <alignment horizontal="left"/>
    </xf>
    <xf numFmtId="164" fontId="30" fillId="0" borderId="0" xfId="1" applyNumberFormat="1" applyFont="1" applyAlignment="1">
      <alignment horizontal="left"/>
    </xf>
    <xf numFmtId="164" fontId="30" fillId="0" borderId="0" xfId="1" applyNumberFormat="1" applyFont="1"/>
    <xf numFmtId="0" fontId="34" fillId="0" borderId="0" xfId="0" applyFont="1" applyAlignment="1">
      <alignment horizontal="center"/>
    </xf>
    <xf numFmtId="43" fontId="34" fillId="0" borderId="0" xfId="1" applyFont="1"/>
    <xf numFmtId="0" fontId="34" fillId="0" borderId="0" xfId="0" applyFont="1" applyBorder="1"/>
    <xf numFmtId="0" fontId="34" fillId="0" borderId="0" xfId="0" applyFont="1"/>
    <xf numFmtId="164" fontId="34" fillId="0" borderId="0" xfId="1" applyNumberFormat="1" applyFont="1"/>
    <xf numFmtId="0" fontId="26" fillId="0" borderId="0" xfId="0" applyFont="1"/>
    <xf numFmtId="164" fontId="26" fillId="0" borderId="0" xfId="1" applyNumberFormat="1" applyFont="1"/>
    <xf numFmtId="43" fontId="26" fillId="0" borderId="0" xfId="1" applyFont="1" applyAlignment="1">
      <alignment horizontal="center"/>
    </xf>
    <xf numFmtId="0" fontId="26" fillId="0" borderId="0" xfId="0" applyFont="1" applyBorder="1" applyAlignment="1">
      <alignment horizontal="center"/>
    </xf>
    <xf numFmtId="43" fontId="35" fillId="0" borderId="0" xfId="1" applyFont="1"/>
    <xf numFmtId="0" fontId="24" fillId="0" borderId="0" xfId="1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  <xf numFmtId="43" fontId="24" fillId="0" borderId="0" xfId="1" applyFont="1" applyAlignment="1">
      <alignment horizontal="center"/>
    </xf>
    <xf numFmtId="43" fontId="34" fillId="0" borderId="0" xfId="1" applyFont="1" applyBorder="1"/>
    <xf numFmtId="43" fontId="34" fillId="0" borderId="0" xfId="1" applyFont="1" applyAlignment="1">
      <alignment horizontal="left" indent="1"/>
    </xf>
    <xf numFmtId="43" fontId="34" fillId="0" borderId="0" xfId="1" applyFont="1" applyBorder="1" applyAlignment="1">
      <alignment horizontal="left" indent="1"/>
    </xf>
    <xf numFmtId="0" fontId="38" fillId="0" borderId="0" xfId="0" applyFont="1"/>
    <xf numFmtId="43" fontId="35" fillId="0" borderId="0" xfId="1" applyFont="1" applyBorder="1"/>
    <xf numFmtId="43" fontId="24" fillId="0" borderId="16" xfId="1" applyFont="1" applyBorder="1"/>
    <xf numFmtId="43" fontId="24" fillId="0" borderId="16" xfId="1" applyFont="1" applyBorder="1" applyAlignment="1">
      <alignment horizontal="left" indent="1"/>
    </xf>
    <xf numFmtId="0" fontId="38" fillId="0" borderId="0" xfId="0" applyFont="1" applyAlignment="1">
      <alignment wrapText="1"/>
    </xf>
    <xf numFmtId="43" fontId="34" fillId="0" borderId="16" xfId="1" applyFont="1" applyBorder="1"/>
    <xf numFmtId="43" fontId="34" fillId="0" borderId="16" xfId="1" applyFont="1" applyBorder="1" applyAlignment="1">
      <alignment horizontal="left" indent="1"/>
    </xf>
    <xf numFmtId="43" fontId="24" fillId="0" borderId="33" xfId="1" applyFont="1" applyBorder="1"/>
    <xf numFmtId="43" fontId="24" fillId="0" borderId="33" xfId="1" applyFont="1" applyBorder="1" applyAlignment="1">
      <alignment horizontal="left" indent="1"/>
    </xf>
    <xf numFmtId="164" fontId="34" fillId="0" borderId="0" xfId="1" applyNumberFormat="1" applyFont="1" applyBorder="1"/>
    <xf numFmtId="0" fontId="39" fillId="0" borderId="0" xfId="0" applyFont="1" applyAlignment="1">
      <alignment horizontal="left" indent="8"/>
    </xf>
    <xf numFmtId="43" fontId="26" fillId="0" borderId="0" xfId="1" applyFont="1" applyBorder="1" applyAlignment="1">
      <alignment horizontal="center"/>
    </xf>
    <xf numFmtId="43" fontId="26" fillId="0" borderId="0" xfId="1" applyFont="1"/>
    <xf numFmtId="0" fontId="24" fillId="0" borderId="0" xfId="0" applyFont="1" applyAlignment="1">
      <alignment horizontal="left"/>
    </xf>
    <xf numFmtId="43" fontId="24" fillId="0" borderId="0" xfId="1" applyFont="1" applyAlignment="1"/>
    <xf numFmtId="0" fontId="24" fillId="0" borderId="0" xfId="1" applyNumberFormat="1" applyFont="1" applyBorder="1" applyAlignment="1">
      <alignment horizontal="center"/>
    </xf>
    <xf numFmtId="43" fontId="24" fillId="0" borderId="0" xfId="1" applyFont="1" applyBorder="1" applyAlignment="1">
      <alignment horizontal="center"/>
    </xf>
    <xf numFmtId="43" fontId="34" fillId="0" borderId="0" xfId="1" applyFont="1" applyFill="1"/>
    <xf numFmtId="43" fontId="34" fillId="0" borderId="15" xfId="1" applyFont="1" applyBorder="1"/>
    <xf numFmtId="43" fontId="35" fillId="0" borderId="16" xfId="1" applyFont="1" applyBorder="1"/>
    <xf numFmtId="0" fontId="40" fillId="0" borderId="0" xfId="0" applyFont="1"/>
    <xf numFmtId="0" fontId="5" fillId="0" borderId="0" xfId="0" applyFont="1"/>
    <xf numFmtId="0" fontId="23" fillId="0" borderId="0" xfId="0" applyFont="1"/>
    <xf numFmtId="0" fontId="17" fillId="2" borderId="17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164" fontId="23" fillId="0" borderId="0" xfId="1" applyNumberFormat="1" applyFont="1"/>
    <xf numFmtId="0" fontId="23" fillId="2" borderId="8" xfId="0" applyFont="1" applyFill="1" applyBorder="1"/>
    <xf numFmtId="0" fontId="17" fillId="2" borderId="16" xfId="0" applyFont="1" applyFill="1" applyBorder="1"/>
    <xf numFmtId="0" fontId="23" fillId="2" borderId="16" xfId="0" applyFont="1" applyFill="1" applyBorder="1"/>
    <xf numFmtId="164" fontId="17" fillId="2" borderId="16" xfId="1" applyNumberFormat="1" applyFont="1" applyFill="1" applyBorder="1"/>
    <xf numFmtId="164" fontId="17" fillId="2" borderId="34" xfId="1" applyNumberFormat="1" applyFont="1" applyFill="1" applyBorder="1"/>
    <xf numFmtId="0" fontId="41" fillId="0" borderId="0" xfId="0" applyFont="1"/>
    <xf numFmtId="0" fontId="5" fillId="2" borderId="35" xfId="0" applyFont="1" applyFill="1" applyBorder="1"/>
    <xf numFmtId="0" fontId="5" fillId="2" borderId="36" xfId="0" applyFont="1" applyFill="1" applyBorder="1"/>
    <xf numFmtId="0" fontId="5" fillId="2" borderId="37" xfId="0" applyFont="1" applyFill="1" applyBorder="1"/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164" fontId="17" fillId="0" borderId="0" xfId="0" applyNumberFormat="1" applyFont="1"/>
    <xf numFmtId="164" fontId="17" fillId="0" borderId="0" xfId="0" applyNumberFormat="1" applyFont="1" applyFill="1"/>
    <xf numFmtId="164" fontId="23" fillId="0" borderId="0" xfId="1" applyNumberFormat="1" applyFont="1" applyFill="1"/>
    <xf numFmtId="0" fontId="23" fillId="0" borderId="0" xfId="0" applyFont="1" applyFill="1"/>
    <xf numFmtId="164" fontId="17" fillId="0" borderId="0" xfId="1" applyNumberFormat="1" applyFont="1"/>
    <xf numFmtId="164" fontId="17" fillId="0" borderId="0" xfId="1" applyNumberFormat="1" applyFont="1" applyFill="1"/>
    <xf numFmtId="164" fontId="23" fillId="0" borderId="0" xfId="0" applyNumberFormat="1" applyFont="1" applyFill="1"/>
    <xf numFmtId="43" fontId="23" fillId="0" borderId="0" xfId="1" applyFont="1" applyFill="1"/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5" fillId="2" borderId="36" xfId="1" applyNumberFormat="1" applyFont="1" applyFill="1" applyBorder="1"/>
    <xf numFmtId="0" fontId="5" fillId="0" borderId="8" xfId="0" applyFont="1" applyBorder="1"/>
    <xf numFmtId="0" fontId="5" fillId="0" borderId="16" xfId="0" applyFont="1" applyBorder="1"/>
    <xf numFmtId="164" fontId="5" fillId="0" borderId="34" xfId="1" applyNumberFormat="1" applyFont="1" applyBorder="1"/>
    <xf numFmtId="0" fontId="23" fillId="0" borderId="0" xfId="0" applyFont="1" applyAlignment="1">
      <alignment horizontal="center"/>
    </xf>
    <xf numFmtId="164" fontId="17" fillId="2" borderId="17" xfId="1" applyNumberFormat="1" applyFont="1" applyFill="1" applyBorder="1" applyAlignment="1">
      <alignment horizontal="center"/>
    </xf>
    <xf numFmtId="164" fontId="17" fillId="2" borderId="5" xfId="1" applyNumberFormat="1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3" fillId="0" borderId="9" xfId="0" applyFont="1" applyFill="1" applyBorder="1"/>
    <xf numFmtId="164" fontId="23" fillId="0" borderId="9" xfId="1" applyNumberFormat="1" applyFont="1" applyFill="1" applyBorder="1"/>
    <xf numFmtId="9" fontId="23" fillId="0" borderId="9" xfId="0" applyNumberFormat="1" applyFont="1" applyFill="1" applyBorder="1"/>
    <xf numFmtId="0" fontId="23" fillId="0" borderId="9" xfId="0" applyFont="1" applyBorder="1" applyAlignment="1">
      <alignment horizontal="center"/>
    </xf>
    <xf numFmtId="0" fontId="23" fillId="0" borderId="9" xfId="0" applyFont="1" applyBorder="1"/>
    <xf numFmtId="164" fontId="23" fillId="0" borderId="9" xfId="1" applyNumberFormat="1" applyFont="1" applyBorder="1"/>
    <xf numFmtId="9" fontId="23" fillId="0" borderId="9" xfId="0" applyNumberFormat="1" applyFont="1" applyBorder="1"/>
    <xf numFmtId="164" fontId="23" fillId="0" borderId="9" xfId="0" applyNumberFormat="1" applyFont="1" applyFill="1" applyBorder="1" applyAlignment="1">
      <alignment horizontal="center"/>
    </xf>
    <xf numFmtId="21" fontId="23" fillId="0" borderId="9" xfId="0" applyNumberFormat="1" applyFont="1" applyBorder="1"/>
    <xf numFmtId="0" fontId="42" fillId="0" borderId="9" xfId="0" applyFont="1" applyBorder="1" applyAlignment="1">
      <alignment horizontal="center"/>
    </xf>
    <xf numFmtId="164" fontId="42" fillId="0" borderId="0" xfId="1" applyNumberFormat="1" applyFont="1" applyFill="1" applyAlignment="1">
      <alignment horizontal="center"/>
    </xf>
    <xf numFmtId="0" fontId="42" fillId="0" borderId="9" xfId="0" applyFont="1" applyFill="1" applyBorder="1"/>
    <xf numFmtId="0" fontId="42" fillId="0" borderId="9" xfId="0" applyFont="1" applyFill="1" applyBorder="1" applyAlignment="1">
      <alignment horizontal="center"/>
    </xf>
    <xf numFmtId="164" fontId="42" fillId="0" borderId="9" xfId="1" applyNumberFormat="1" applyFont="1" applyFill="1" applyBorder="1"/>
    <xf numFmtId="9" fontId="42" fillId="0" borderId="9" xfId="0" applyNumberFormat="1" applyFont="1" applyFill="1" applyBorder="1"/>
    <xf numFmtId="164" fontId="23" fillId="0" borderId="0" xfId="1" applyNumberFormat="1" applyFont="1" applyAlignment="1">
      <alignment horizontal="center"/>
    </xf>
    <xf numFmtId="164" fontId="23" fillId="0" borderId="0" xfId="1" applyNumberFormat="1" applyFont="1" applyFill="1" applyAlignment="1">
      <alignment horizontal="center"/>
    </xf>
    <xf numFmtId="0" fontId="23" fillId="0" borderId="34" xfId="0" applyFont="1" applyBorder="1"/>
    <xf numFmtId="0" fontId="23" fillId="0" borderId="34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15" xfId="0" applyFont="1" applyFill="1" applyBorder="1"/>
    <xf numFmtId="3" fontId="23" fillId="0" borderId="9" xfId="0" applyNumberFormat="1" applyFont="1" applyFill="1" applyBorder="1" applyAlignment="1">
      <alignment horizontal="center"/>
    </xf>
    <xf numFmtId="21" fontId="23" fillId="0" borderId="9" xfId="0" applyNumberFormat="1" applyFont="1" applyFill="1" applyBorder="1" applyAlignment="1">
      <alignment horizontal="left"/>
    </xf>
    <xf numFmtId="21" fontId="23" fillId="0" borderId="9" xfId="0" applyNumberFormat="1" applyFont="1" applyFill="1" applyBorder="1"/>
    <xf numFmtId="0" fontId="15" fillId="0" borderId="0" xfId="0" applyFont="1" applyFill="1" applyAlignment="1">
      <alignment horizontal="center"/>
    </xf>
    <xf numFmtId="49" fontId="23" fillId="0" borderId="9" xfId="0" applyNumberFormat="1" applyFont="1" applyFill="1" applyBorder="1"/>
    <xf numFmtId="21" fontId="23" fillId="0" borderId="9" xfId="0" applyNumberFormat="1" applyFont="1" applyFill="1" applyBorder="1" applyAlignment="1"/>
    <xf numFmtId="21" fontId="17" fillId="0" borderId="9" xfId="0" applyNumberFormat="1" applyFont="1" applyFill="1" applyBorder="1" applyAlignment="1"/>
    <xf numFmtId="46" fontId="23" fillId="0" borderId="9" xfId="0" applyNumberFormat="1" applyFont="1" applyFill="1" applyBorder="1" applyAlignment="1"/>
    <xf numFmtId="49" fontId="30" fillId="0" borderId="9" xfId="0" applyNumberFormat="1" applyFont="1" applyFill="1" applyBorder="1" applyAlignment="1"/>
    <xf numFmtId="46" fontId="23" fillId="0" borderId="9" xfId="0" applyNumberFormat="1" applyFont="1" applyBorder="1" applyAlignment="1"/>
    <xf numFmtId="43" fontId="30" fillId="0" borderId="9" xfId="1" applyFont="1" applyFill="1" applyBorder="1" applyAlignment="1">
      <alignment horizontal="left"/>
    </xf>
    <xf numFmtId="49" fontId="30" fillId="0" borderId="9" xfId="1" applyNumberFormat="1" applyFont="1" applyFill="1" applyBorder="1" applyAlignment="1">
      <alignment horizontal="center"/>
    </xf>
    <xf numFmtId="43" fontId="43" fillId="0" borderId="9" xfId="1" applyFont="1" applyFill="1" applyBorder="1" applyAlignment="1">
      <alignment horizontal="left"/>
    </xf>
    <xf numFmtId="49" fontId="43" fillId="0" borderId="9" xfId="1" applyNumberFormat="1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0" fontId="43" fillId="0" borderId="9" xfId="0" applyFont="1" applyFill="1" applyBorder="1"/>
    <xf numFmtId="164" fontId="43" fillId="0" borderId="9" xfId="1" applyNumberFormat="1" applyFont="1" applyFill="1" applyBorder="1"/>
    <xf numFmtId="9" fontId="43" fillId="0" borderId="9" xfId="0" applyNumberFormat="1" applyFont="1" applyFill="1" applyBorder="1"/>
    <xf numFmtId="43" fontId="30" fillId="0" borderId="13" xfId="1" applyFont="1" applyFill="1" applyBorder="1" applyAlignment="1">
      <alignment horizontal="left"/>
    </xf>
    <xf numFmtId="49" fontId="30" fillId="0" borderId="13" xfId="1" applyNumberFormat="1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/>
    <xf numFmtId="164" fontId="23" fillId="0" borderId="13" xfId="1" applyNumberFormat="1" applyFont="1" applyFill="1" applyBorder="1"/>
    <xf numFmtId="164" fontId="23" fillId="0" borderId="13" xfId="1" applyNumberFormat="1" applyFont="1" applyBorder="1"/>
    <xf numFmtId="9" fontId="23" fillId="0" borderId="13" xfId="0" applyNumberFormat="1" applyFont="1" applyBorder="1"/>
    <xf numFmtId="164" fontId="44" fillId="0" borderId="5" xfId="1" applyNumberFormat="1" applyFont="1" applyFill="1" applyBorder="1" applyAlignment="1">
      <alignment horizontal="left"/>
    </xf>
    <xf numFmtId="164" fontId="30" fillId="0" borderId="5" xfId="1" applyNumberFormat="1" applyFont="1" applyFill="1" applyBorder="1" applyAlignment="1">
      <alignment horizontal="left"/>
    </xf>
    <xf numFmtId="0" fontId="23" fillId="0" borderId="5" xfId="0" applyFont="1" applyBorder="1" applyAlignment="1">
      <alignment horizontal="center"/>
    </xf>
    <xf numFmtId="0" fontId="23" fillId="0" borderId="5" xfId="0" applyFont="1" applyBorder="1"/>
    <xf numFmtId="164" fontId="23" fillId="0" borderId="5" xfId="1" applyNumberFormat="1" applyFont="1" applyBorder="1"/>
    <xf numFmtId="164" fontId="23" fillId="0" borderId="5" xfId="1" applyNumberFormat="1" applyFont="1" applyFill="1" applyBorder="1"/>
    <xf numFmtId="9" fontId="23" fillId="0" borderId="5" xfId="0" applyNumberFormat="1" applyFont="1" applyBorder="1"/>
    <xf numFmtId="0" fontId="44" fillId="0" borderId="9" xfId="0" applyFont="1" applyFill="1" applyBorder="1"/>
    <xf numFmtId="164" fontId="30" fillId="0" borderId="9" xfId="1" applyNumberFormat="1" applyFont="1" applyFill="1" applyBorder="1" applyAlignment="1">
      <alignment horizontal="left"/>
    </xf>
    <xf numFmtId="43" fontId="44" fillId="0" borderId="9" xfId="1" applyFont="1" applyFill="1" applyBorder="1" applyAlignment="1">
      <alignment horizontal="left"/>
    </xf>
    <xf numFmtId="0" fontId="44" fillId="0" borderId="0" xfId="0" applyFont="1"/>
    <xf numFmtId="0" fontId="44" fillId="0" borderId="9" xfId="0" applyFont="1" applyBorder="1"/>
    <xf numFmtId="164" fontId="30" fillId="0" borderId="9" xfId="1" applyNumberFormat="1" applyFont="1" applyFill="1" applyBorder="1" applyAlignment="1">
      <alignment horizontal="right"/>
    </xf>
    <xf numFmtId="0" fontId="44" fillId="0" borderId="0" xfId="0" applyFont="1" applyFill="1"/>
    <xf numFmtId="164" fontId="17" fillId="0" borderId="9" xfId="1" applyNumberFormat="1" applyFont="1" applyFill="1" applyBorder="1"/>
    <xf numFmtId="0" fontId="45" fillId="0" borderId="0" xfId="0" applyNumberFormat="1" applyFont="1" applyAlignment="1">
      <alignment horizontal="left"/>
    </xf>
    <xf numFmtId="0" fontId="45" fillId="0" borderId="0" xfId="1" applyNumberFormat="1" applyFont="1" applyFill="1" applyBorder="1" applyAlignment="1">
      <alignment horizontal="left"/>
    </xf>
    <xf numFmtId="0" fontId="46" fillId="0" borderId="0" xfId="1" applyNumberFormat="1" applyFont="1" applyFill="1" applyBorder="1" applyAlignment="1">
      <alignment horizontal="left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36" xfId="0" applyFont="1" applyFill="1" applyBorder="1"/>
    <xf numFmtId="164" fontId="17" fillId="2" borderId="36" xfId="1" applyNumberFormat="1" applyFont="1" applyFill="1" applyBorder="1"/>
    <xf numFmtId="164" fontId="17" fillId="2" borderId="40" xfId="1" applyNumberFormat="1" applyFont="1" applyFill="1" applyBorder="1"/>
    <xf numFmtId="0" fontId="47" fillId="0" borderId="0" xfId="0" applyFont="1" applyBorder="1"/>
    <xf numFmtId="0" fontId="48" fillId="0" borderId="0" xfId="0" applyFont="1" applyBorder="1"/>
    <xf numFmtId="0" fontId="47" fillId="0" borderId="0" xfId="0" applyFont="1"/>
    <xf numFmtId="0" fontId="49" fillId="0" borderId="0" xfId="0" applyFont="1" applyBorder="1"/>
    <xf numFmtId="0" fontId="50" fillId="0" borderId="0" xfId="0" applyFont="1" applyBorder="1"/>
    <xf numFmtId="0" fontId="51" fillId="0" borderId="0" xfId="0" applyFont="1" applyBorder="1"/>
    <xf numFmtId="0" fontId="52" fillId="0" borderId="0" xfId="0" applyFont="1" applyBorder="1"/>
    <xf numFmtId="164" fontId="47" fillId="0" borderId="0" xfId="1" applyNumberFormat="1" applyFont="1" applyBorder="1"/>
    <xf numFmtId="164" fontId="47" fillId="0" borderId="0" xfId="1" applyNumberFormat="1" applyFont="1" applyBorder="1" applyAlignment="1">
      <alignment horizontal="right"/>
    </xf>
    <xf numFmtId="0" fontId="49" fillId="0" borderId="8" xfId="0" applyFont="1" applyBorder="1"/>
    <xf numFmtId="0" fontId="49" fillId="0" borderId="16" xfId="0" applyFont="1" applyBorder="1"/>
    <xf numFmtId="164" fontId="49" fillId="0" borderId="34" xfId="1" applyNumberFormat="1" applyFont="1" applyBorder="1"/>
    <xf numFmtId="0" fontId="53" fillId="0" borderId="41" xfId="0" applyFont="1" applyBorder="1"/>
    <xf numFmtId="0" fontId="54" fillId="0" borderId="42" xfId="0" applyFont="1" applyBorder="1"/>
    <xf numFmtId="0" fontId="53" fillId="0" borderId="42" xfId="0" applyFont="1" applyBorder="1"/>
    <xf numFmtId="0" fontId="55" fillId="0" borderId="42" xfId="0" applyFont="1" applyBorder="1"/>
    <xf numFmtId="0" fontId="56" fillId="0" borderId="42" xfId="0" applyFont="1" applyBorder="1"/>
    <xf numFmtId="0" fontId="55" fillId="0" borderId="28" xfId="0" applyFont="1" applyBorder="1"/>
    <xf numFmtId="0" fontId="53" fillId="0" borderId="0" xfId="0" applyFont="1" applyBorder="1"/>
    <xf numFmtId="0" fontId="53" fillId="0" borderId="21" xfId="0" applyFont="1" applyBorder="1"/>
    <xf numFmtId="0" fontId="55" fillId="0" borderId="0" xfId="0" applyFont="1" applyBorder="1"/>
    <xf numFmtId="0" fontId="55" fillId="0" borderId="29" xfId="0" applyFont="1" applyBorder="1"/>
    <xf numFmtId="0" fontId="54" fillId="0" borderId="0" xfId="0" applyFont="1" applyBorder="1"/>
    <xf numFmtId="0" fontId="53" fillId="0" borderId="29" xfId="0" applyFont="1" applyBorder="1"/>
    <xf numFmtId="0" fontId="57" fillId="0" borderId="0" xfId="0" applyFont="1" applyBorder="1"/>
    <xf numFmtId="14" fontId="55" fillId="0" borderId="0" xfId="0" applyNumberFormat="1" applyFont="1" applyBorder="1"/>
    <xf numFmtId="0" fontId="53" fillId="0" borderId="0" xfId="0" applyFont="1" applyBorder="1" applyAlignment="1">
      <alignment horizontal="right"/>
    </xf>
    <xf numFmtId="0" fontId="58" fillId="0" borderId="0" xfId="0" applyFont="1" applyBorder="1"/>
    <xf numFmtId="0" fontId="50" fillId="0" borderId="29" xfId="0" applyFont="1" applyBorder="1"/>
    <xf numFmtId="0" fontId="59" fillId="0" borderId="29" xfId="0" applyFont="1" applyBorder="1" applyAlignment="1">
      <alignment horizontal="center"/>
    </xf>
    <xf numFmtId="0" fontId="53" fillId="0" borderId="43" xfId="0" applyFont="1" applyBorder="1"/>
    <xf numFmtId="0" fontId="53" fillId="0" borderId="40" xfId="0" applyFont="1" applyBorder="1"/>
    <xf numFmtId="0" fontId="53" fillId="0" borderId="44" xfId="0" applyFont="1" applyBorder="1"/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3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3" fontId="30" fillId="0" borderId="0" xfId="1" applyFont="1" applyAlignment="1">
      <alignment horizontal="center"/>
    </xf>
    <xf numFmtId="43" fontId="36" fillId="0" borderId="0" xfId="1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ma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i\AppData\Local\Temp\Rar$DIa0.563\Garden%20Line%20KS%20-%20Pasqyrat%20Financiare%202012%20dt%2022.03.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lientet\ACTIVE\GARDEN%20LINE\Financial%20Statements\2011\Garden%20Line%20Kosove%20-%20Pasqyrat%20financiare%202011%20-%20dt%2026%2003%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olek"/>
      <sheetName val="kredi 12"/>
      <sheetName val="KREDI 11"/>
      <sheetName val="empoE"/>
      <sheetName val="b.€ intesa"/>
      <sheetName val="agriko $"/>
      <sheetName val="bkt.lek"/>
      <sheetName val="arka 12"/>
      <sheetName val="lb.bl 12"/>
      <sheetName val="veneto lek "/>
      <sheetName val="venetoE "/>
      <sheetName val="permb bankave"/>
      <sheetName val="amort."/>
      <sheetName val="btirana€"/>
      <sheetName val="AAM2011"/>
      <sheetName val="Foglio1"/>
      <sheetName val="KASA"/>
      <sheetName val="shitje 12"/>
      <sheetName val="b.lek.intesa"/>
      <sheetName val="b.tirana.lek"/>
      <sheetName val="rajf .b.€"/>
      <sheetName val="b.rajff.l"/>
      <sheetName val="bkt €"/>
      <sheetName val="saldot"/>
      <sheetName val="bilanci"/>
      <sheetName val="b.p.cred.lek"/>
      <sheetName val="akt"/>
      <sheetName val="f.m.dir."/>
      <sheetName val="pas."/>
      <sheetName val="t.fitimi"/>
      <sheetName val="rogat"/>
      <sheetName val="sig-025"/>
      <sheetName val="furnt"/>
      <sheetName val="a-sh.nat"/>
      <sheetName val="shp.tjera"/>
      <sheetName val="a-sh.fun"/>
      <sheetName val="klient 12"/>
      <sheetName val="Sheet1"/>
      <sheetName val="Sheet3"/>
      <sheetName val="imp.12"/>
      <sheetName val="tvsh"/>
      <sheetName val="mj.k.lizing"/>
      <sheetName val="bl.vend"/>
      <sheetName val="nd,kap kos"/>
      <sheetName val="f.m.ind"/>
      <sheetName val="638"/>
      <sheetName val="P2"/>
      <sheetName val="mjk.11"/>
      <sheetName val="inv mj.k 2011"/>
      <sheetName val="vodafon "/>
      <sheetName val="sig-25.12"/>
      <sheetName val="Sheet2"/>
      <sheetName val="svilupo€"/>
      <sheetName val="LISTA"/>
      <sheetName val="sig-027.1"/>
      <sheetName val="B&gt;ProcLEK"/>
      <sheetName val="b.€.rajf"/>
      <sheetName val="b.svilupo.lek"/>
      <sheetName val="PI"/>
      <sheetName val="shpjegime"/>
      <sheetName val="shpjegues"/>
      <sheetName val="klient "/>
      <sheetName val="618"/>
      <sheetName val="llog.370"/>
      <sheetName val="k.2010"/>
      <sheetName val="661"/>
      <sheetName val="nd.kap.pakons"/>
      <sheetName val="sig alberto"/>
      <sheetName val="bordero"/>
      <sheetName val="k. 2008"/>
      <sheetName val="furnitore"/>
      <sheetName val="kredia"/>
      <sheetName val="k.2009"/>
      <sheetName val="inv.mjk"/>
      <sheetName val="lizing 07-11"/>
      <sheetName val="kont678"/>
      <sheetName val="kont.286"/>
      <sheetName val="kont 559"/>
      <sheetName val="kont 543"/>
      <sheetName val="kont 535"/>
      <sheetName val="144"/>
      <sheetName val="286"/>
      <sheetName val="148"/>
      <sheetName val="113"/>
      <sheetName val="543"/>
      <sheetName val="559"/>
      <sheetName val="535"/>
      <sheetName val="678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M48">
            <v>3725942.4</v>
          </cell>
          <cell r="P48">
            <v>8787600</v>
          </cell>
        </row>
        <row r="139">
          <cell r="M139">
            <v>5478532.7166666668</v>
          </cell>
          <cell r="P139">
            <v>26019768</v>
          </cell>
        </row>
        <row r="200">
          <cell r="H200">
            <v>4579440</v>
          </cell>
        </row>
        <row r="201">
          <cell r="G201">
            <v>56000000</v>
          </cell>
        </row>
        <row r="202">
          <cell r="F202">
            <v>659730</v>
          </cell>
          <cell r="G202">
            <v>659730</v>
          </cell>
        </row>
        <row r="208">
          <cell r="G208">
            <v>69533964</v>
          </cell>
          <cell r="H208">
            <v>7292193</v>
          </cell>
          <cell r="K208">
            <v>650401.1</v>
          </cell>
        </row>
        <row r="229">
          <cell r="F229">
            <v>13339200</v>
          </cell>
        </row>
        <row r="230">
          <cell r="F230">
            <v>694750</v>
          </cell>
        </row>
        <row r="231">
          <cell r="F231">
            <v>1157917</v>
          </cell>
        </row>
        <row r="232">
          <cell r="F232">
            <v>1181330</v>
          </cell>
        </row>
        <row r="233">
          <cell r="F233">
            <v>1216075</v>
          </cell>
        </row>
        <row r="234">
          <cell r="F234">
            <v>1225000</v>
          </cell>
        </row>
        <row r="236">
          <cell r="G236">
            <v>59230541.596266665</v>
          </cell>
          <cell r="H236">
            <v>14249831</v>
          </cell>
          <cell r="K236">
            <v>6633975.1859200001</v>
          </cell>
        </row>
        <row r="326">
          <cell r="F326">
            <v>7117181.2750000004</v>
          </cell>
        </row>
        <row r="327">
          <cell r="F327">
            <v>1679042.4500000002</v>
          </cell>
        </row>
        <row r="328">
          <cell r="F328">
            <v>1599529</v>
          </cell>
        </row>
        <row r="329">
          <cell r="F329">
            <v>3887788</v>
          </cell>
        </row>
        <row r="330">
          <cell r="F330">
            <v>1456568.1</v>
          </cell>
        </row>
        <row r="331">
          <cell r="F331">
            <v>259737.1</v>
          </cell>
        </row>
        <row r="332">
          <cell r="F332">
            <v>1887469.6</v>
          </cell>
        </row>
        <row r="333">
          <cell r="F333">
            <v>398228</v>
          </cell>
        </row>
        <row r="338">
          <cell r="G338">
            <v>89554619.318866655</v>
          </cell>
          <cell r="H338">
            <v>9488517</v>
          </cell>
          <cell r="K338">
            <v>13855756.66169</v>
          </cell>
        </row>
        <row r="364">
          <cell r="F364">
            <v>87240</v>
          </cell>
        </row>
        <row r="365">
          <cell r="F365">
            <v>543071</v>
          </cell>
        </row>
        <row r="366">
          <cell r="F366">
            <v>289475</v>
          </cell>
        </row>
        <row r="367">
          <cell r="F367">
            <v>970825</v>
          </cell>
        </row>
        <row r="368">
          <cell r="F368">
            <v>21972</v>
          </cell>
        </row>
        <row r="372">
          <cell r="G372">
            <v>2894306.3</v>
          </cell>
          <cell r="H372">
            <v>125696</v>
          </cell>
          <cell r="K372">
            <v>308624.54333333339</v>
          </cell>
        </row>
        <row r="382">
          <cell r="F382">
            <v>27833</v>
          </cell>
        </row>
        <row r="383">
          <cell r="F383">
            <v>36908</v>
          </cell>
        </row>
        <row r="384">
          <cell r="F384">
            <v>17375</v>
          </cell>
        </row>
        <row r="385">
          <cell r="F385">
            <v>44160</v>
          </cell>
        </row>
        <row r="386">
          <cell r="F386">
            <v>47500</v>
          </cell>
        </row>
        <row r="387">
          <cell r="F387">
            <v>54000</v>
          </cell>
        </row>
        <row r="388">
          <cell r="F388">
            <v>17500</v>
          </cell>
        </row>
        <row r="389">
          <cell r="F389">
            <v>102435</v>
          </cell>
        </row>
        <row r="390">
          <cell r="F390">
            <v>350000</v>
          </cell>
        </row>
        <row r="391">
          <cell r="F391">
            <v>40000</v>
          </cell>
        </row>
        <row r="392">
          <cell r="F392">
            <v>723058</v>
          </cell>
        </row>
        <row r="394">
          <cell r="G394">
            <v>2249405</v>
          </cell>
          <cell r="H394">
            <v>262615</v>
          </cell>
          <cell r="K394">
            <v>159873.75</v>
          </cell>
        </row>
      </sheetData>
      <sheetData sheetId="13" refreshError="1"/>
      <sheetData sheetId="14" refreshError="1"/>
      <sheetData sheetId="15">
        <row r="28">
          <cell r="X28">
            <v>27833</v>
          </cell>
        </row>
        <row r="43">
          <cell r="X43">
            <v>36908</v>
          </cell>
        </row>
        <row r="48">
          <cell r="T48">
            <v>266927</v>
          </cell>
        </row>
        <row r="69">
          <cell r="X69">
            <v>17375</v>
          </cell>
        </row>
        <row r="70">
          <cell r="T70">
            <v>2500</v>
          </cell>
        </row>
        <row r="97">
          <cell r="X97">
            <v>259737.1</v>
          </cell>
        </row>
        <row r="127">
          <cell r="T127">
            <v>341367</v>
          </cell>
        </row>
        <row r="146">
          <cell r="T146">
            <v>145833</v>
          </cell>
        </row>
        <row r="201">
          <cell r="T201">
            <v>145833</v>
          </cell>
        </row>
        <row r="247">
          <cell r="T247">
            <v>375532</v>
          </cell>
        </row>
        <row r="317">
          <cell r="T317">
            <v>145833</v>
          </cell>
        </row>
        <row r="349">
          <cell r="T349">
            <v>368032</v>
          </cell>
        </row>
        <row r="399">
          <cell r="T399">
            <v>145833</v>
          </cell>
        </row>
        <row r="412">
          <cell r="T412">
            <v>31275</v>
          </cell>
        </row>
        <row r="413">
          <cell r="T413">
            <v>16567</v>
          </cell>
        </row>
        <row r="428">
          <cell r="T428">
            <v>60000</v>
          </cell>
        </row>
        <row r="429">
          <cell r="T429">
            <v>46000</v>
          </cell>
        </row>
        <row r="430">
          <cell r="T430">
            <v>4500</v>
          </cell>
        </row>
        <row r="457">
          <cell r="T457">
            <v>314147</v>
          </cell>
        </row>
        <row r="477">
          <cell r="T477">
            <v>9028</v>
          </cell>
        </row>
        <row r="516">
          <cell r="T516">
            <v>145833</v>
          </cell>
        </row>
        <row r="532">
          <cell r="T532">
            <v>6843.87</v>
          </cell>
        </row>
        <row r="548">
          <cell r="E548" t="str">
            <v>Paisje me cetifikate  pronesie mjeti</v>
          </cell>
          <cell r="T548">
            <v>200</v>
          </cell>
        </row>
        <row r="549">
          <cell r="T549">
            <v>5000</v>
          </cell>
        </row>
        <row r="551">
          <cell r="T551">
            <v>5000</v>
          </cell>
        </row>
        <row r="552">
          <cell r="T552">
            <v>47513</v>
          </cell>
        </row>
        <row r="562">
          <cell r="T562">
            <v>3152</v>
          </cell>
        </row>
        <row r="567">
          <cell r="T567">
            <v>83333</v>
          </cell>
        </row>
        <row r="572">
          <cell r="T572">
            <v>415251</v>
          </cell>
        </row>
        <row r="590">
          <cell r="T590">
            <v>8585</v>
          </cell>
        </row>
        <row r="630">
          <cell r="T630">
            <v>145833</v>
          </cell>
        </row>
        <row r="638">
          <cell r="T638">
            <v>5000</v>
          </cell>
        </row>
        <row r="650">
          <cell r="T650">
            <v>18000</v>
          </cell>
        </row>
        <row r="651">
          <cell r="T651">
            <v>50000</v>
          </cell>
        </row>
        <row r="652">
          <cell r="T652">
            <v>8000</v>
          </cell>
        </row>
        <row r="653">
          <cell r="T653">
            <v>150000</v>
          </cell>
        </row>
        <row r="667">
          <cell r="T667">
            <v>407474</v>
          </cell>
        </row>
        <row r="674">
          <cell r="T674">
            <v>125000</v>
          </cell>
        </row>
        <row r="739">
          <cell r="T739">
            <v>52000</v>
          </cell>
        </row>
        <row r="771">
          <cell r="T771">
            <v>445527</v>
          </cell>
        </row>
        <row r="777">
          <cell r="T777">
            <v>1661</v>
          </cell>
        </row>
        <row r="778">
          <cell r="T778">
            <v>2768</v>
          </cell>
        </row>
        <row r="786">
          <cell r="T786">
            <v>3000</v>
          </cell>
        </row>
        <row r="787">
          <cell r="T787">
            <v>3500</v>
          </cell>
        </row>
        <row r="790">
          <cell r="T790">
            <v>5625</v>
          </cell>
        </row>
        <row r="813">
          <cell r="X813">
            <v>113686</v>
          </cell>
        </row>
        <row r="814">
          <cell r="X814">
            <v>150089</v>
          </cell>
        </row>
        <row r="815">
          <cell r="X815">
            <v>25700</v>
          </cell>
        </row>
        <row r="833">
          <cell r="T833">
            <v>208333</v>
          </cell>
        </row>
        <row r="869">
          <cell r="T869">
            <v>236374</v>
          </cell>
        </row>
        <row r="876">
          <cell r="T876">
            <v>1107</v>
          </cell>
        </row>
        <row r="877">
          <cell r="T877">
            <v>-1833</v>
          </cell>
        </row>
        <row r="918">
          <cell r="T918">
            <v>177000</v>
          </cell>
        </row>
        <row r="920">
          <cell r="T920">
            <v>10000</v>
          </cell>
        </row>
        <row r="932">
          <cell r="T932">
            <v>175000</v>
          </cell>
        </row>
        <row r="964">
          <cell r="T964">
            <v>3733</v>
          </cell>
        </row>
        <row r="971">
          <cell r="T971">
            <v>17916</v>
          </cell>
        </row>
        <row r="972">
          <cell r="T972">
            <v>7916</v>
          </cell>
        </row>
        <row r="976">
          <cell r="T976">
            <v>4958</v>
          </cell>
        </row>
        <row r="985">
          <cell r="T985">
            <v>56052</v>
          </cell>
        </row>
        <row r="1005">
          <cell r="T1005">
            <v>6054</v>
          </cell>
        </row>
        <row r="1006">
          <cell r="T1006">
            <v>37054</v>
          </cell>
        </row>
        <row r="1041">
          <cell r="T1041">
            <v>10000</v>
          </cell>
        </row>
        <row r="1058">
          <cell r="T1058">
            <v>3000</v>
          </cell>
        </row>
        <row r="1059">
          <cell r="T1059">
            <v>3000</v>
          </cell>
        </row>
        <row r="1060">
          <cell r="T1060">
            <v>22400</v>
          </cell>
        </row>
        <row r="1093">
          <cell r="T1093">
            <v>1985</v>
          </cell>
        </row>
        <row r="1098">
          <cell r="T1098">
            <v>18200</v>
          </cell>
        </row>
        <row r="1107">
          <cell r="T1107">
            <v>15417</v>
          </cell>
        </row>
        <row r="1112">
          <cell r="T1112">
            <v>45552.6</v>
          </cell>
        </row>
        <row r="1140">
          <cell r="T1140">
            <v>59264</v>
          </cell>
        </row>
        <row r="1141">
          <cell r="T1141">
            <v>14958</v>
          </cell>
        </row>
        <row r="1143">
          <cell r="T1143">
            <v>5609</v>
          </cell>
        </row>
        <row r="1144">
          <cell r="T1144">
            <v>12315</v>
          </cell>
        </row>
        <row r="1149">
          <cell r="T1149">
            <v>36348</v>
          </cell>
        </row>
        <row r="1165">
          <cell r="T1165">
            <v>166667</v>
          </cell>
        </row>
        <row r="1227">
          <cell r="T1227">
            <v>3000</v>
          </cell>
        </row>
        <row r="1228">
          <cell r="T1228">
            <v>3500</v>
          </cell>
        </row>
        <row r="1229">
          <cell r="T1229">
            <v>2650</v>
          </cell>
        </row>
        <row r="1230">
          <cell r="T1230">
            <v>1200</v>
          </cell>
        </row>
        <row r="1231">
          <cell r="T1231">
            <v>5500</v>
          </cell>
        </row>
        <row r="1232">
          <cell r="T1232">
            <v>7000</v>
          </cell>
        </row>
        <row r="1233">
          <cell r="T1233">
            <v>20500</v>
          </cell>
        </row>
        <row r="1234">
          <cell r="T1234">
            <v>4958</v>
          </cell>
        </row>
        <row r="1236">
          <cell r="T1236">
            <v>14460</v>
          </cell>
        </row>
        <row r="1237">
          <cell r="T1237">
            <v>5500</v>
          </cell>
        </row>
        <row r="1238">
          <cell r="T1238">
            <v>1600</v>
          </cell>
        </row>
        <row r="1239">
          <cell r="T1239">
            <v>3400</v>
          </cell>
        </row>
        <row r="1241">
          <cell r="T1241">
            <v>3500</v>
          </cell>
        </row>
        <row r="1255">
          <cell r="T1255">
            <v>11614</v>
          </cell>
        </row>
        <row r="1256">
          <cell r="T1256">
            <v>11448</v>
          </cell>
        </row>
        <row r="1257">
          <cell r="T1257">
            <v>65000</v>
          </cell>
        </row>
        <row r="1258">
          <cell r="T1258">
            <v>10000</v>
          </cell>
        </row>
        <row r="1262">
          <cell r="T1262">
            <v>2000</v>
          </cell>
        </row>
        <row r="1263">
          <cell r="T1263">
            <v>15417</v>
          </cell>
        </row>
        <row r="1264">
          <cell r="T1264">
            <v>17917</v>
          </cell>
        </row>
        <row r="1268">
          <cell r="T1268">
            <v>140824</v>
          </cell>
        </row>
        <row r="1280">
          <cell r="T1280">
            <v>12500</v>
          </cell>
        </row>
        <row r="1281">
          <cell r="T1281">
            <v>13000</v>
          </cell>
        </row>
        <row r="1283">
          <cell r="T1283">
            <v>1082</v>
          </cell>
        </row>
        <row r="1284">
          <cell r="T1284">
            <v>1625</v>
          </cell>
        </row>
        <row r="1285">
          <cell r="T1285">
            <v>1406.5</v>
          </cell>
        </row>
        <row r="1286">
          <cell r="T1286">
            <v>2658</v>
          </cell>
        </row>
        <row r="1294">
          <cell r="T1294">
            <v>175000</v>
          </cell>
        </row>
        <row r="1325">
          <cell r="T1325">
            <v>11583</v>
          </cell>
        </row>
        <row r="1335">
          <cell r="X1335">
            <v>723058</v>
          </cell>
        </row>
        <row r="1337">
          <cell r="T1337">
            <v>212112</v>
          </cell>
        </row>
        <row r="1347">
          <cell r="T1347">
            <v>218988</v>
          </cell>
        </row>
        <row r="1362">
          <cell r="I1362">
            <v>227194711.90000001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D5">
            <v>10500000</v>
          </cell>
          <cell r="H5">
            <v>80000000</v>
          </cell>
        </row>
        <row r="6">
          <cell r="D6">
            <v>2605124</v>
          </cell>
          <cell r="F6">
            <v>3443873</v>
          </cell>
          <cell r="H6">
            <v>6048997</v>
          </cell>
        </row>
        <row r="7">
          <cell r="D7">
            <v>0</v>
          </cell>
          <cell r="H7">
            <v>0</v>
          </cell>
        </row>
        <row r="8">
          <cell r="D8">
            <v>33753359</v>
          </cell>
          <cell r="E8">
            <v>4066404</v>
          </cell>
          <cell r="H8">
            <v>29686955</v>
          </cell>
        </row>
        <row r="9">
          <cell r="D9">
            <v>68877469</v>
          </cell>
          <cell r="H9">
            <v>48324974.324866697</v>
          </cell>
        </row>
        <row r="11">
          <cell r="D11">
            <v>69554363</v>
          </cell>
          <cell r="E11">
            <v>10367910.499999998</v>
          </cell>
        </row>
        <row r="12">
          <cell r="D12">
            <v>124585087</v>
          </cell>
          <cell r="E12">
            <v>8745431.4899999984</v>
          </cell>
        </row>
        <row r="13">
          <cell r="G13">
            <v>11997185</v>
          </cell>
        </row>
        <row r="14">
          <cell r="H14">
            <v>66486082</v>
          </cell>
        </row>
        <row r="16">
          <cell r="C16">
            <v>55000000</v>
          </cell>
          <cell r="G16">
            <v>85000000</v>
          </cell>
        </row>
        <row r="17">
          <cell r="G17">
            <v>0</v>
          </cell>
        </row>
        <row r="18">
          <cell r="C18">
            <v>60853104</v>
          </cell>
        </row>
        <row r="19">
          <cell r="C19">
            <v>90717713</v>
          </cell>
          <cell r="E19">
            <v>39813437.524999999</v>
          </cell>
        </row>
        <row r="20">
          <cell r="E20">
            <v>0</v>
          </cell>
        </row>
        <row r="21">
          <cell r="F21">
            <v>21608631.240943331</v>
          </cell>
        </row>
        <row r="25">
          <cell r="C25">
            <v>63922748.5</v>
          </cell>
          <cell r="G25">
            <v>70235316.50270009</v>
          </cell>
        </row>
        <row r="26">
          <cell r="C26">
            <v>76560</v>
          </cell>
          <cell r="G26">
            <v>76560</v>
          </cell>
        </row>
        <row r="27">
          <cell r="D27">
            <v>6989750</v>
          </cell>
          <cell r="H27">
            <v>3274780.0061399993</v>
          </cell>
        </row>
        <row r="28">
          <cell r="D28">
            <v>72106776</v>
          </cell>
          <cell r="H28">
            <v>100531392.18351996</v>
          </cell>
        </row>
        <row r="29">
          <cell r="C29">
            <v>124411832.5</v>
          </cell>
          <cell r="F29">
            <v>794261097.25452006</v>
          </cell>
          <cell r="G29">
            <v>195825453.06387997</v>
          </cell>
        </row>
        <row r="30">
          <cell r="D30">
            <v>1745495</v>
          </cell>
          <cell r="G30">
            <v>1086257.6178600192</v>
          </cell>
        </row>
        <row r="31">
          <cell r="G31">
            <v>0</v>
          </cell>
        </row>
        <row r="32">
          <cell r="C32">
            <v>0</v>
          </cell>
          <cell r="E32">
            <v>18782576</v>
          </cell>
          <cell r="G32">
            <v>0</v>
          </cell>
          <cell r="H32">
            <v>963726.58558519185</v>
          </cell>
        </row>
        <row r="33">
          <cell r="E33">
            <v>150182</v>
          </cell>
          <cell r="G33">
            <v>0</v>
          </cell>
        </row>
        <row r="34">
          <cell r="D34">
            <v>159547</v>
          </cell>
          <cell r="H34">
            <v>197974.34274492413</v>
          </cell>
        </row>
        <row r="35">
          <cell r="D35">
            <v>448733</v>
          </cell>
          <cell r="H35">
            <v>1053046.6717266925</v>
          </cell>
        </row>
        <row r="37">
          <cell r="G37">
            <v>0</v>
          </cell>
        </row>
        <row r="38">
          <cell r="C38">
            <v>3392606</v>
          </cell>
          <cell r="G38">
            <v>1688426.2318198681</v>
          </cell>
        </row>
        <row r="39">
          <cell r="E39">
            <v>0</v>
          </cell>
          <cell r="G39">
            <v>0</v>
          </cell>
        </row>
        <row r="41">
          <cell r="C41">
            <v>643031</v>
          </cell>
          <cell r="G41">
            <v>852377</v>
          </cell>
        </row>
        <row r="49">
          <cell r="F49">
            <v>729109001.97240007</v>
          </cell>
        </row>
        <row r="54">
          <cell r="E54">
            <v>12782727.716699999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36078285.147923075</v>
          </cell>
        </row>
        <row r="58">
          <cell r="E58">
            <v>3807841.6715485379</v>
          </cell>
        </row>
        <row r="59">
          <cell r="E59">
            <v>3045656</v>
          </cell>
        </row>
        <row r="60">
          <cell r="E60">
            <v>519108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1752648.92</v>
          </cell>
        </row>
        <row r="64">
          <cell r="E64">
            <v>4012549.8</v>
          </cell>
        </row>
        <row r="65">
          <cell r="E65">
            <v>0</v>
          </cell>
        </row>
        <row r="66">
          <cell r="E66">
            <v>25602892.883333333</v>
          </cell>
        </row>
        <row r="67">
          <cell r="E67">
            <v>11746581</v>
          </cell>
        </row>
        <row r="68">
          <cell r="E68">
            <v>1371762.1600000001</v>
          </cell>
        </row>
        <row r="69">
          <cell r="E69">
            <v>27464695.399999999</v>
          </cell>
        </row>
        <row r="70">
          <cell r="E70">
            <v>27016753.049999993</v>
          </cell>
        </row>
        <row r="71">
          <cell r="E71">
            <v>13058231.226099998</v>
          </cell>
        </row>
        <row r="73">
          <cell r="E73">
            <v>0</v>
          </cell>
        </row>
        <row r="74">
          <cell r="E74">
            <v>21608631.240943331</v>
          </cell>
        </row>
        <row r="75">
          <cell r="E75">
            <v>61516358.9454</v>
          </cell>
        </row>
      </sheetData>
      <sheetData sheetId="25" refreshError="1"/>
      <sheetData sheetId="26">
        <row r="8">
          <cell r="D8">
            <v>1688426.2318198681</v>
          </cell>
        </row>
        <row r="35">
          <cell r="D35">
            <v>64963852.899999999</v>
          </cell>
        </row>
        <row r="36">
          <cell r="D36">
            <v>79868607.190856665</v>
          </cell>
        </row>
      </sheetData>
      <sheetData sheetId="27" refreshError="1"/>
      <sheetData sheetId="28">
        <row r="14">
          <cell r="E14">
            <v>86115</v>
          </cell>
        </row>
        <row r="28">
          <cell r="D28">
            <v>175026108.00999999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>
        <row r="11">
          <cell r="C11">
            <v>6312568.0027000904</v>
          </cell>
        </row>
        <row r="12">
          <cell r="C12">
            <v>423507279.90270007</v>
          </cell>
        </row>
        <row r="15">
          <cell r="C15">
            <v>36078285.147923075</v>
          </cell>
        </row>
        <row r="16">
          <cell r="C16">
            <v>3807841.6715485379</v>
          </cell>
          <cell r="D16">
            <v>1720530.9168415382</v>
          </cell>
        </row>
        <row r="17">
          <cell r="C17">
            <v>21608631.240943331</v>
          </cell>
          <cell r="D17">
            <v>11257082.803359997</v>
          </cell>
        </row>
        <row r="24">
          <cell r="H24">
            <v>3045656</v>
          </cell>
        </row>
        <row r="25">
          <cell r="H25">
            <v>519108</v>
          </cell>
        </row>
        <row r="28">
          <cell r="H28">
            <v>1752648.92</v>
          </cell>
        </row>
        <row r="29">
          <cell r="H29">
            <v>4012549.8</v>
          </cell>
        </row>
        <row r="31">
          <cell r="H31">
            <v>37349473.883333333</v>
          </cell>
        </row>
        <row r="32">
          <cell r="H32">
            <v>1371762.1600000001</v>
          </cell>
        </row>
        <row r="33">
          <cell r="H33">
            <v>27464695.399999999</v>
          </cell>
        </row>
        <row r="34">
          <cell r="H34">
            <v>27016753.049999993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9">
          <cell r="O59">
            <v>7117181.2750000004</v>
          </cell>
        </row>
        <row r="61">
          <cell r="O61">
            <v>1679042.4500000002</v>
          </cell>
        </row>
        <row r="81">
          <cell r="O81">
            <v>1599529</v>
          </cell>
        </row>
        <row r="89">
          <cell r="O89">
            <v>3887788</v>
          </cell>
        </row>
        <row r="124">
          <cell r="O124">
            <v>1456568.1</v>
          </cell>
        </row>
        <row r="153">
          <cell r="L153">
            <v>1696014</v>
          </cell>
          <cell r="M153">
            <v>21895</v>
          </cell>
          <cell r="N153">
            <v>21947226</v>
          </cell>
        </row>
        <row r="157">
          <cell r="E157">
            <v>196312568.00270009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14">
          <cell r="H14">
            <v>33836909</v>
          </cell>
        </row>
        <row r="17">
          <cell r="H17">
            <v>10300654</v>
          </cell>
        </row>
        <row r="18">
          <cell r="H18">
            <v>11746581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SA"/>
      <sheetName val="shitje 11"/>
      <sheetName val="venetoE "/>
      <sheetName val="veneto lek "/>
      <sheetName val="bkt €"/>
      <sheetName val="lb.bl 11"/>
      <sheetName val="empolek"/>
      <sheetName val="empoE"/>
      <sheetName val="bkt.lek"/>
      <sheetName val="permb bankave"/>
      <sheetName val="btirana€"/>
      <sheetName val="b.€ intesa"/>
      <sheetName val="b.tirana.lek"/>
      <sheetName val="b.lek.intesa"/>
      <sheetName val="KREDI 11"/>
      <sheetName val="klient 11"/>
      <sheetName val="rogat"/>
      <sheetName val="blerjet 2011"/>
      <sheetName val="Foglio1"/>
      <sheetName val="mj.k.lizing"/>
      <sheetName val="bl.vend"/>
      <sheetName val="furnt"/>
      <sheetName val="f.m.dir."/>
      <sheetName val="nd,kap kos"/>
      <sheetName val="PI"/>
      <sheetName val="f.m.ind"/>
      <sheetName val="a-sh.nat"/>
      <sheetName val="a-sh.fun"/>
      <sheetName val="pas."/>
      <sheetName val="akt"/>
      <sheetName val="bilanci"/>
      <sheetName val="b.rajff.l"/>
      <sheetName val="saldot"/>
      <sheetName val="638"/>
      <sheetName val="P2"/>
      <sheetName val="tvsh"/>
      <sheetName val="mjk.11"/>
      <sheetName val="p.arke"/>
      <sheetName val="inv mj.k 2011"/>
      <sheetName val="imp.11"/>
      <sheetName val="amort."/>
      <sheetName val="AAM2011"/>
      <sheetName val="vodafon "/>
      <sheetName val="svilupo€"/>
      <sheetName val="sig-025"/>
      <sheetName val="LISTA"/>
      <sheetName val="sig-027.1"/>
      <sheetName val="b.p.cred.lek"/>
      <sheetName val="B&gt;ProcLEK"/>
      <sheetName val="b.€.rajf"/>
      <sheetName val="b.svilupo.lek"/>
      <sheetName val="rajf .b.€"/>
      <sheetName val="shpjegime"/>
      <sheetName val="shpjegues"/>
      <sheetName val="klient "/>
      <sheetName val="618"/>
      <sheetName val="llog.370"/>
      <sheetName val="k.2010"/>
      <sheetName val="661"/>
      <sheetName val="nd.kap.pakons"/>
      <sheetName val="sig alberto"/>
      <sheetName val="bordero"/>
      <sheetName val="k. 2008"/>
      <sheetName val="t.fitimi"/>
      <sheetName val="furnitore"/>
      <sheetName val="kredia"/>
      <sheetName val="k.2009"/>
      <sheetName val="inv.mjk"/>
      <sheetName val="kont678"/>
      <sheetName val="lizing 07-11"/>
      <sheetName val="kont.286"/>
      <sheetName val="kont 543"/>
      <sheetName val="kont 559"/>
      <sheetName val="kont 535"/>
      <sheetName val="144"/>
      <sheetName val="286"/>
      <sheetName val="148"/>
      <sheetName val="113"/>
      <sheetName val="543"/>
      <sheetName val="559"/>
      <sheetName val="535"/>
      <sheetName val="678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356259925.18999994</v>
          </cell>
        </row>
        <row r="11">
          <cell r="C11">
            <v>-23727222.513399988</v>
          </cell>
        </row>
        <row r="12">
          <cell r="C12">
            <v>158278378.48660001</v>
          </cell>
        </row>
        <row r="15">
          <cell r="C15">
            <v>10302540.909230769</v>
          </cell>
        </row>
        <row r="16">
          <cell r="C16">
            <v>1720530.9168415382</v>
          </cell>
        </row>
        <row r="17">
          <cell r="C17">
            <v>11257082.803359997</v>
          </cell>
        </row>
        <row r="18">
          <cell r="C18">
            <v>38727828.911260001</v>
          </cell>
        </row>
        <row r="19">
          <cell r="C19">
            <v>18012937.225500003</v>
          </cell>
        </row>
        <row r="26">
          <cell r="C26">
            <v>-12342081.0381</v>
          </cell>
        </row>
        <row r="27">
          <cell r="C27">
            <v>-3361169.5538666714</v>
          </cell>
        </row>
        <row r="28">
          <cell r="C28">
            <v>1806.1</v>
          </cell>
        </row>
      </sheetData>
      <sheetData sheetId="27">
        <row r="9">
          <cell r="C9">
            <v>356259925.18999994</v>
          </cell>
        </row>
      </sheetData>
      <sheetData sheetId="28"/>
      <sheetData sheetId="29">
        <row r="42">
          <cell r="D42">
            <v>398867413.72353327</v>
          </cell>
        </row>
      </sheetData>
      <sheetData sheetId="30"/>
      <sheetData sheetId="31"/>
      <sheetData sheetId="32"/>
      <sheetData sheetId="33"/>
      <sheetData sheetId="34">
        <row r="8">
          <cell r="E8">
            <v>142276269.48660001</v>
          </cell>
        </row>
        <row r="9">
          <cell r="E9">
            <v>-23727222.513399988</v>
          </cell>
        </row>
        <row r="15">
          <cell r="E15">
            <v>10302540.909230769</v>
          </cell>
        </row>
        <row r="19">
          <cell r="E19">
            <v>3361169.5538666714</v>
          </cell>
        </row>
        <row r="21">
          <cell r="E21">
            <v>914670</v>
          </cell>
        </row>
        <row r="22">
          <cell r="E22">
            <v>772102</v>
          </cell>
        </row>
        <row r="25">
          <cell r="E25">
            <v>1064050.0812600001</v>
          </cell>
        </row>
        <row r="27">
          <cell r="E27">
            <v>40600</v>
          </cell>
        </row>
        <row r="28">
          <cell r="E28">
            <v>8943452.4000000004</v>
          </cell>
        </row>
        <row r="29">
          <cell r="E29">
            <v>1684716.7</v>
          </cell>
        </row>
        <row r="30">
          <cell r="E30">
            <v>17991321</v>
          </cell>
        </row>
        <row r="31">
          <cell r="E31">
            <v>7287313</v>
          </cell>
        </row>
        <row r="34">
          <cell r="E34">
            <v>8827748</v>
          </cell>
        </row>
        <row r="35">
          <cell r="E35">
            <v>4528186</v>
          </cell>
        </row>
        <row r="36">
          <cell r="E36">
            <v>12342081.0381</v>
          </cell>
        </row>
        <row r="37">
          <cell r="E37">
            <v>18012937.225500003</v>
          </cell>
        </row>
        <row r="38">
          <cell r="E38">
            <v>1312829.97</v>
          </cell>
        </row>
        <row r="40">
          <cell r="E40">
            <v>155538</v>
          </cell>
        </row>
        <row r="42">
          <cell r="E42">
            <v>1207410.76</v>
          </cell>
        </row>
      </sheetData>
      <sheetData sheetId="35"/>
      <sheetData sheetId="36"/>
      <sheetData sheetId="37"/>
      <sheetData sheetId="38"/>
      <sheetData sheetId="39"/>
      <sheetData sheetId="40">
        <row r="146">
          <cell r="G146">
            <v>126989668.19013332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ig o27"/>
      <sheetName val="bordero"/>
      <sheetName val="tvsh"/>
      <sheetName val="furnitor"/>
      <sheetName val="kliente"/>
      <sheetName val="shitje 07"/>
      <sheetName val="leasing"/>
      <sheetName val="Sheet3"/>
      <sheetName val="inv.mjk"/>
      <sheetName val="amort."/>
      <sheetName val="bilanci"/>
      <sheetName val="mj.k.leasing"/>
      <sheetName val="b.rajff.l"/>
      <sheetName val="b.lek.bia"/>
      <sheetName val="rogat"/>
      <sheetName val="Sheet1"/>
      <sheetName val="sig 025"/>
      <sheetName val="det tj"/>
      <sheetName val="pagat"/>
      <sheetName val="b,€.amer"/>
      <sheetName val="b.amer.lek"/>
      <sheetName val="b.€ bia"/>
      <sheetName val="kredia"/>
      <sheetName val="Sheet2"/>
      <sheetName val="imp.07"/>
      <sheetName val="Sheet4"/>
      <sheetName val="bl.vend"/>
      <sheetName val="jeta"/>
      <sheetName val="kont.286"/>
      <sheetName val="kont.148"/>
      <sheetName val="kont 144"/>
      <sheetName val="kont.113"/>
      <sheetName val="b.€.rajf"/>
      <sheetName val="p.4"/>
      <sheetName val="dek.f"/>
      <sheetName val="t.fitimi"/>
      <sheetName val="p.3"/>
      <sheetName val="vodafon "/>
      <sheetName val="furnt"/>
      <sheetName val="dekl"/>
      <sheetName val="permb leising"/>
      <sheetName val="p.arke"/>
      <sheetName val="lik leasing"/>
      <sheetName val="286"/>
      <sheetName val="144"/>
      <sheetName val="148"/>
      <sheetName val="113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 t="str">
            <v>pirun ngites me goma tip 938.13</v>
          </cell>
        </row>
      </sheetData>
      <sheetData sheetId="7"/>
      <sheetData sheetId="8"/>
      <sheetData sheetId="9"/>
      <sheetData sheetId="10"/>
      <sheetData sheetId="11">
        <row r="9">
          <cell r="D9" t="str">
            <v>pirun ngites me goma tip 938.13</v>
          </cell>
          <cell r="H9">
            <v>7323982.9236000003</v>
          </cell>
        </row>
        <row r="10">
          <cell r="D10" t="str">
            <v>ford fiesta</v>
          </cell>
          <cell r="H10">
            <v>1086662.5</v>
          </cell>
        </row>
        <row r="11">
          <cell r="D11" t="str">
            <v>ford ranger pick-up</v>
          </cell>
          <cell r="H11">
            <v>1247457.926</v>
          </cell>
        </row>
        <row r="12">
          <cell r="D12" t="str">
            <v>ford transit pick up</v>
          </cell>
          <cell r="H12">
            <v>2078010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5">
          <cell r="M35">
            <v>86382886.952000022</v>
          </cell>
        </row>
      </sheetData>
      <sheetData sheetId="23"/>
      <sheetData sheetId="24">
        <row r="37">
          <cell r="B37" t="str">
            <v>15.03.07</v>
          </cell>
        </row>
        <row r="39">
          <cell r="E39" t="str">
            <v>traktor</v>
          </cell>
        </row>
        <row r="100">
          <cell r="E100" t="str">
            <v>imp.vadites</v>
          </cell>
          <cell r="J100">
            <v>877765.65720000002</v>
          </cell>
          <cell r="M100">
            <v>27871</v>
          </cell>
        </row>
        <row r="120">
          <cell r="E120" t="str">
            <v xml:space="preserve">pompa </v>
          </cell>
          <cell r="F120">
            <v>2</v>
          </cell>
          <cell r="J120">
            <v>221667.08</v>
          </cell>
          <cell r="M120">
            <v>0</v>
          </cell>
        </row>
        <row r="124">
          <cell r="B124" t="str">
            <v>15.10.07</v>
          </cell>
          <cell r="E124" t="str">
            <v xml:space="preserve">kazan hekuri </v>
          </cell>
          <cell r="J124">
            <v>64617</v>
          </cell>
          <cell r="M124">
            <v>10041</v>
          </cell>
        </row>
        <row r="130">
          <cell r="B130" t="str">
            <v>23.10.07</v>
          </cell>
          <cell r="E130" t="str">
            <v xml:space="preserve">pompa </v>
          </cell>
          <cell r="F130">
            <v>3</v>
          </cell>
          <cell r="J130">
            <v>194343.32</v>
          </cell>
          <cell r="M130">
            <v>13522</v>
          </cell>
        </row>
      </sheetData>
      <sheetData sheetId="25"/>
      <sheetData sheetId="26">
        <row r="28">
          <cell r="B28" t="str">
            <v>30.01.07</v>
          </cell>
          <cell r="D28" t="str">
            <v>matrapik</v>
          </cell>
          <cell r="E28">
            <v>17650</v>
          </cell>
        </row>
        <row r="50">
          <cell r="B50" t="str">
            <v>19.05.07</v>
          </cell>
          <cell r="D50" t="str">
            <v>share</v>
          </cell>
          <cell r="E50">
            <v>41667</v>
          </cell>
        </row>
        <row r="52">
          <cell r="B52" t="str">
            <v>21.05.07</v>
          </cell>
          <cell r="D52" t="str">
            <v>makine korese</v>
          </cell>
          <cell r="E52">
            <v>58333</v>
          </cell>
        </row>
        <row r="56">
          <cell r="B56" t="str">
            <v>13.06.07</v>
          </cell>
          <cell r="D56" t="str">
            <v>aspirator</v>
          </cell>
          <cell r="E56">
            <v>66667</v>
          </cell>
        </row>
        <row r="57">
          <cell r="B57" t="str">
            <v>29.06.07</v>
          </cell>
          <cell r="D57" t="str">
            <v>makine korese</v>
          </cell>
          <cell r="E57">
            <v>10833</v>
          </cell>
        </row>
        <row r="76">
          <cell r="B76" t="str">
            <v>21,11,07</v>
          </cell>
          <cell r="D76" t="str">
            <v>dyer dritare</v>
          </cell>
          <cell r="E76">
            <v>125000</v>
          </cell>
        </row>
        <row r="83">
          <cell r="B83" t="str">
            <v>30,11,07</v>
          </cell>
          <cell r="D83" t="str">
            <v>printer</v>
          </cell>
          <cell r="E83">
            <v>133333</v>
          </cell>
        </row>
      </sheetData>
      <sheetData sheetId="27"/>
      <sheetData sheetId="28">
        <row r="3">
          <cell r="E3">
            <v>122.92</v>
          </cell>
        </row>
      </sheetData>
      <sheetData sheetId="29">
        <row r="6">
          <cell r="E6">
            <v>124.19</v>
          </cell>
        </row>
      </sheetData>
      <sheetData sheetId="30">
        <row r="3">
          <cell r="E3">
            <v>122.2</v>
          </cell>
        </row>
      </sheetData>
      <sheetData sheetId="31">
        <row r="6">
          <cell r="E6">
            <v>125.94</v>
          </cell>
        </row>
      </sheetData>
      <sheetData sheetId="32">
        <row r="189">
          <cell r="D189">
            <v>1776064.2800000003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7">
          <cell r="F277">
            <v>843496.33333333337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kt"/>
      <sheetName val="nd,kap kos"/>
      <sheetName val="amort."/>
      <sheetName val="pas."/>
      <sheetName val="a-sh.nat"/>
      <sheetName val="bilanci"/>
      <sheetName val="furnt"/>
      <sheetName val="a-sh.fun"/>
      <sheetName val="f.m.dir."/>
      <sheetName val="f.m.ind"/>
      <sheetName val="nd.kap.pakons"/>
      <sheetName val="Sheet9"/>
      <sheetName val="sig o27"/>
      <sheetName val="sig 027"/>
      <sheetName val="sig-025"/>
      <sheetName val="sig 025"/>
      <sheetName val="rogat"/>
      <sheetName val="bordero"/>
      <sheetName val="t.fitimi"/>
      <sheetName val="b.amer.lek"/>
      <sheetName val="bkt €"/>
      <sheetName val="bkt.lek"/>
      <sheetName val="kredia"/>
      <sheetName val="p.arke"/>
      <sheetName val="shitje 08"/>
      <sheetName val="lb shitjeve 09"/>
      <sheetName val="vodafon "/>
      <sheetName val="lb.bl 09"/>
      <sheetName val="lb.blerje"/>
      <sheetName val="tvsh"/>
      <sheetName val="Sheet2"/>
      <sheetName val="imp.08"/>
      <sheetName val="mj.k.lizing"/>
      <sheetName val="b.lek.intesa"/>
      <sheetName val="b,€amer"/>
      <sheetName val="lb.shitje 08"/>
      <sheetName val="rajf .b.€"/>
      <sheetName val="permb bankave"/>
      <sheetName val="bl.vend"/>
      <sheetName val="b.rajff.l"/>
      <sheetName val="b.€.rajf"/>
      <sheetName val="sabriu"/>
      <sheetName val="iliri"/>
      <sheetName val="b.€ intesa"/>
      <sheetName val="jeta"/>
      <sheetName val="Sheet1"/>
      <sheetName val="inv.mjk"/>
      <sheetName val="lizing 08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p.4"/>
      <sheetName val="dek.f"/>
      <sheetName val="det tj"/>
      <sheetName val="pagat"/>
      <sheetName val="p.3"/>
      <sheetName val="dekl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>
            <v>71001214.436666667</v>
          </cell>
        </row>
      </sheetData>
      <sheetData sheetId="8"/>
      <sheetData sheetId="9">
        <row r="8">
          <cell r="C8">
            <v>12040009.870262558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3">
          <cell r="K43">
            <v>8508.43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0">
          <cell r="H40">
            <v>8787600</v>
          </cell>
        </row>
        <row r="41">
          <cell r="H41">
            <v>1088279.1666666665</v>
          </cell>
        </row>
        <row r="42">
          <cell r="H42">
            <v>1826681.6666666667</v>
          </cell>
        </row>
        <row r="43">
          <cell r="H43">
            <v>7420640</v>
          </cell>
        </row>
      </sheetData>
      <sheetData sheetId="33"/>
      <sheetData sheetId="34"/>
      <sheetData sheetId="35">
        <row r="4688">
          <cell r="D4688">
            <v>6806400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0">
          <cell r="F30">
            <v>8875.56</v>
          </cell>
        </row>
      </sheetData>
      <sheetData sheetId="49">
        <row r="39">
          <cell r="F39">
            <v>2767.05</v>
          </cell>
        </row>
      </sheetData>
      <sheetData sheetId="50">
        <row r="35">
          <cell r="F35">
            <v>3228.1400000000003</v>
          </cell>
        </row>
      </sheetData>
      <sheetData sheetId="51">
        <row r="43">
          <cell r="F43">
            <v>5354.44</v>
          </cell>
        </row>
      </sheetData>
      <sheetData sheetId="52">
        <row r="16">
          <cell r="F16">
            <v>15270.070000000002</v>
          </cell>
        </row>
      </sheetData>
      <sheetData sheetId="53">
        <row r="16">
          <cell r="F16">
            <v>1581.6200000000001</v>
          </cell>
        </row>
      </sheetData>
      <sheetData sheetId="54">
        <row r="17">
          <cell r="F17">
            <v>3227.29</v>
          </cell>
        </row>
      </sheetData>
      <sheetData sheetId="55">
        <row r="13">
          <cell r="F13">
            <v>7887.88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odafon "/>
      <sheetName val="Sheet4"/>
      <sheetName val="Sheet5"/>
      <sheetName val="t.fitimi"/>
      <sheetName val="llog.370"/>
      <sheetName val="inv mj.k 2009"/>
      <sheetName val="nd,kap kos"/>
      <sheetName val="pas."/>
      <sheetName val="djeta reps"/>
      <sheetName val="bilanci"/>
      <sheetName val="kredia"/>
      <sheetName val="a-sh.fun"/>
      <sheetName val="a-sh.nat"/>
      <sheetName val="furnt"/>
      <sheetName val="bl.vend"/>
      <sheetName val="akt"/>
      <sheetName val="amort."/>
      <sheetName val="imp.09"/>
      <sheetName val="imp09"/>
      <sheetName val="Sheet7"/>
      <sheetName val="f.m.dir."/>
      <sheetName val="f.m.ind"/>
      <sheetName val="nd.kap.pakons"/>
      <sheetName val="sig-027.1"/>
      <sheetName val="sig o27"/>
      <sheetName val="sig-025"/>
      <sheetName val="sig 027"/>
      <sheetName val="rogat"/>
      <sheetName val="sig alberto"/>
      <sheetName val="sig 025"/>
      <sheetName val="bordero"/>
      <sheetName val="lb.shitje"/>
      <sheetName val="k. 2008"/>
      <sheetName val="tvsh"/>
      <sheetName val="Sheet2"/>
      <sheetName val="furnitore"/>
      <sheetName val="b.€ intesa"/>
      <sheetName val="lb shitjeve 09"/>
      <sheetName val="lb.bl 09"/>
      <sheetName val="k.2009"/>
      <sheetName val="b.lek.intesa"/>
      <sheetName val="b,€amer"/>
      <sheetName val="b.amer.lek"/>
      <sheetName val="b.svilupo.lek"/>
      <sheetName val="svilupo€"/>
      <sheetName val="b.tirana.lek"/>
      <sheetName val="klient "/>
      <sheetName val="btirana€"/>
      <sheetName val="bkt.lek"/>
      <sheetName val="shitje 08"/>
      <sheetName val="lb.blerje"/>
      <sheetName val="permb bankave"/>
      <sheetName val="bkt €"/>
      <sheetName val="mj.k.lizing"/>
      <sheetName val="rajf .b.€"/>
      <sheetName val="09lizing"/>
      <sheetName val="lizing 09"/>
      <sheetName val="b.€.rajf"/>
      <sheetName val="p.arke"/>
      <sheetName val="b.rajff.l"/>
      <sheetName val="sabriu"/>
      <sheetName val="iliri"/>
      <sheetName val="Sheet3"/>
      <sheetName val="jeta"/>
      <sheetName val="Sheet1"/>
      <sheetName val="inv.mjk"/>
      <sheetName val="lizing 08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8">
          <cell r="G118">
            <v>116150.98</v>
          </cell>
          <cell r="H118" t="str">
            <v>Pompa 2P</v>
          </cell>
        </row>
      </sheetData>
      <sheetData sheetId="5">
        <row r="45">
          <cell r="G45">
            <v>25962.639999999999</v>
          </cell>
        </row>
        <row r="46">
          <cell r="G46">
            <v>82945.94</v>
          </cell>
        </row>
        <row r="47">
          <cell r="G47">
            <v>70253.919999999998</v>
          </cell>
        </row>
        <row r="48">
          <cell r="G48">
            <v>79080</v>
          </cell>
        </row>
        <row r="49">
          <cell r="G49">
            <v>593315.1</v>
          </cell>
        </row>
        <row r="50">
          <cell r="G50">
            <v>197771.7</v>
          </cell>
        </row>
        <row r="51">
          <cell r="G51">
            <v>44270.400000000001</v>
          </cell>
        </row>
        <row r="52">
          <cell r="G52">
            <v>180317.28</v>
          </cell>
        </row>
        <row r="53">
          <cell r="G53">
            <v>1142148</v>
          </cell>
        </row>
        <row r="54">
          <cell r="G54">
            <v>77588.539999999994</v>
          </cell>
        </row>
        <row r="55">
          <cell r="G55">
            <v>28437.620000000003</v>
          </cell>
        </row>
        <row r="56">
          <cell r="G56">
            <v>19834.900000000001</v>
          </cell>
        </row>
        <row r="57">
          <cell r="G57">
            <v>39669.800000000003</v>
          </cell>
        </row>
        <row r="75">
          <cell r="B75" t="str">
            <v>shperndares dheu   cop</v>
          </cell>
          <cell r="F75">
            <v>67039</v>
          </cell>
          <cell r="G75">
            <v>67039</v>
          </cell>
        </row>
      </sheetData>
      <sheetData sheetId="6" refreshError="1"/>
      <sheetData sheetId="7" refreshError="1"/>
      <sheetData sheetId="8" refreshError="1"/>
      <sheetData sheetId="9">
        <row r="11">
          <cell r="L11">
            <v>87792533.545056358</v>
          </cell>
        </row>
      </sheetData>
      <sheetData sheetId="10">
        <row r="70">
          <cell r="K70">
            <v>20342.969999999987</v>
          </cell>
        </row>
      </sheetData>
      <sheetData sheetId="11" refreshError="1"/>
      <sheetData sheetId="12" refreshError="1"/>
      <sheetData sheetId="13" refreshError="1"/>
      <sheetData sheetId="14">
        <row r="26">
          <cell r="B26" t="str">
            <v>20.05.09</v>
          </cell>
          <cell r="C26" t="str">
            <v>la prealpina</v>
          </cell>
          <cell r="E26">
            <v>13950</v>
          </cell>
        </row>
        <row r="41">
          <cell r="B41" t="str">
            <v>09.07.09</v>
          </cell>
          <cell r="D41" t="str">
            <v>pompa uji</v>
          </cell>
          <cell r="E41">
            <v>65000</v>
          </cell>
        </row>
        <row r="49">
          <cell r="B49" t="str">
            <v>31.08.09</v>
          </cell>
          <cell r="D49" t="str">
            <v>ford ronger</v>
          </cell>
          <cell r="E49">
            <v>2426783.4</v>
          </cell>
        </row>
        <row r="50">
          <cell r="B50" t="str">
            <v>31.08.09</v>
          </cell>
          <cell r="D50" t="str">
            <v>ford tranzit</v>
          </cell>
          <cell r="E50">
            <v>2592245.9</v>
          </cell>
        </row>
        <row r="58">
          <cell r="B58" t="str">
            <v>15.09.09</v>
          </cell>
          <cell r="C58" t="str">
            <v>la prealpina</v>
          </cell>
          <cell r="E58">
            <v>22692</v>
          </cell>
        </row>
        <row r="91">
          <cell r="C91" t="str">
            <v>eurosistemalbania</v>
          </cell>
          <cell r="E91">
            <v>183400</v>
          </cell>
        </row>
        <row r="98">
          <cell r="B98">
            <v>0.46607638888888886</v>
          </cell>
          <cell r="C98" t="str">
            <v>iva elektrika</v>
          </cell>
          <cell r="E98">
            <v>49450</v>
          </cell>
        </row>
        <row r="99">
          <cell r="F99">
            <v>6000</v>
          </cell>
        </row>
        <row r="103">
          <cell r="C103" t="str">
            <v>iva elektrika</v>
          </cell>
          <cell r="E103">
            <v>9200</v>
          </cell>
        </row>
        <row r="121">
          <cell r="B121" t="str">
            <v>21.12.09</v>
          </cell>
          <cell r="E121">
            <v>37367</v>
          </cell>
        </row>
        <row r="125">
          <cell r="B125" t="str">
            <v>30.12.09</v>
          </cell>
          <cell r="E125">
            <v>270600</v>
          </cell>
        </row>
        <row r="126">
          <cell r="C126" t="str">
            <v>praktiker</v>
          </cell>
        </row>
        <row r="177">
          <cell r="C177" t="str">
            <v>univers reklama    tabele</v>
          </cell>
        </row>
        <row r="184">
          <cell r="C184" t="str">
            <v xml:space="preserve">kmpjutri turit </v>
          </cell>
          <cell r="D184">
            <v>41667</v>
          </cell>
        </row>
        <row r="186">
          <cell r="D186">
            <v>57833.33</v>
          </cell>
        </row>
      </sheetData>
      <sheetData sheetId="15" refreshError="1"/>
      <sheetData sheetId="16" refreshError="1"/>
      <sheetData sheetId="17">
        <row r="53">
          <cell r="B53" t="str">
            <v>05.09.09</v>
          </cell>
          <cell r="E53" t="str">
            <v>makine per mbjellje basri</v>
          </cell>
        </row>
        <row r="60">
          <cell r="B60" t="str">
            <v>12.09.09</v>
          </cell>
          <cell r="E60" t="str">
            <v>pjese mak.mb.bari  cop</v>
          </cell>
          <cell r="N60">
            <v>170121.01</v>
          </cell>
        </row>
        <row r="63">
          <cell r="B63" t="str">
            <v>12.09.09</v>
          </cell>
          <cell r="E63" t="str">
            <v>makine per mbjellje basri</v>
          </cell>
          <cell r="N63">
            <v>1936326</v>
          </cell>
        </row>
        <row r="71">
          <cell r="B71" t="str">
            <v>16.09.09</v>
          </cell>
          <cell r="E71" t="str">
            <v>mak perd.mbj.bari</v>
          </cell>
          <cell r="N71">
            <v>615678</v>
          </cell>
        </row>
        <row r="72">
          <cell r="E72" t="str">
            <v>makine per mbjellje basri</v>
          </cell>
          <cell r="N72">
            <v>3981381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4">
          <cell r="E14">
            <v>999485.02200599993</v>
          </cell>
        </row>
      </sheetData>
      <sheetData sheetId="37">
        <row r="53">
          <cell r="D53" t="str">
            <v>drini a</v>
          </cell>
        </row>
      </sheetData>
      <sheetData sheetId="38" refreshError="1"/>
      <sheetData sheetId="39" refreshError="1"/>
      <sheetData sheetId="40">
        <row r="11">
          <cell r="D11">
            <v>151510.5</v>
          </cell>
        </row>
      </sheetData>
      <sheetData sheetId="41" refreshError="1"/>
      <sheetData sheetId="42" refreshError="1"/>
      <sheetData sheetId="43">
        <row r="7">
          <cell r="F7">
            <v>1094927</v>
          </cell>
        </row>
      </sheetData>
      <sheetData sheetId="44" refreshError="1"/>
      <sheetData sheetId="45">
        <row r="12">
          <cell r="F12">
            <v>42000</v>
          </cell>
        </row>
      </sheetData>
      <sheetData sheetId="46">
        <row r="2">
          <cell r="A2" t="str">
            <v>turizmi plazh 2003</v>
          </cell>
        </row>
      </sheetData>
      <sheetData sheetId="47">
        <row r="8">
          <cell r="E8">
            <v>1950000</v>
          </cell>
        </row>
      </sheetData>
      <sheetData sheetId="48">
        <row r="7">
          <cell r="C7">
            <v>714240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22">
          <cell r="E22">
            <v>16422274.124999998</v>
          </cell>
        </row>
      </sheetData>
      <sheetData sheetId="55" refreshError="1"/>
      <sheetData sheetId="56" refreshError="1"/>
      <sheetData sheetId="57">
        <row r="26">
          <cell r="S26">
            <v>1792387.85</v>
          </cell>
        </row>
      </sheetData>
      <sheetData sheetId="58" refreshError="1"/>
      <sheetData sheetId="59">
        <row r="78">
          <cell r="C78">
            <v>230097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odafon "/>
      <sheetName val="Sheet4"/>
      <sheetName val="Sheet5"/>
      <sheetName val="klient "/>
      <sheetName val="djeta reps"/>
      <sheetName val="f.m.ind"/>
      <sheetName val="pas."/>
      <sheetName val="a-sh.nat"/>
      <sheetName val="akt"/>
      <sheetName val="bilanci"/>
      <sheetName val="klient 10"/>
      <sheetName val="shitje 10"/>
      <sheetName val="furnt"/>
      <sheetName val="a-sh.fun"/>
      <sheetName val="618"/>
      <sheetName val="f.m.dir."/>
      <sheetName val="nd,kap kos"/>
      <sheetName val="llog.370"/>
      <sheetName val="blerjet 2010"/>
      <sheetName val="P2"/>
      <sheetName val="k.2010"/>
      <sheetName val="661"/>
      <sheetName val="b.€ intesa"/>
      <sheetName val="lb.bl 10"/>
      <sheetName val="638"/>
      <sheetName val="b.lek.intesa"/>
      <sheetName val="AAM2010"/>
      <sheetName val="amort."/>
      <sheetName val="bl.vend"/>
      <sheetName val="PI"/>
      <sheetName val="Sheet1"/>
      <sheetName val="imp.10"/>
      <sheetName val="inv mj.k 2009"/>
      <sheetName val="nd.kap.pakons"/>
      <sheetName val="sig-027.1"/>
      <sheetName val="sig-025"/>
      <sheetName val="sig alberto"/>
      <sheetName val="bordero"/>
      <sheetName val="k. 2008"/>
      <sheetName val="KASA"/>
      <sheetName val="p.arke"/>
      <sheetName val="bkt.lek"/>
      <sheetName val="t.fitimi"/>
      <sheetName val="furnitore"/>
      <sheetName val="bkt €"/>
      <sheetName val="tvsh"/>
      <sheetName val="svilupo€"/>
      <sheetName val="lizing 10"/>
      <sheetName val="rogat"/>
      <sheetName val="b.rajff.l"/>
      <sheetName val="rajf .b.€"/>
      <sheetName val="mj.k.lizing"/>
      <sheetName val="kredia"/>
      <sheetName val="k.2009"/>
      <sheetName val="B&gt;ProcLEK"/>
      <sheetName val="b.€.rajf"/>
      <sheetName val="b.p.cred.lek"/>
      <sheetName val="b.svilupo.lek"/>
      <sheetName val="b.tirana.lek"/>
      <sheetName val="permb bankave"/>
      <sheetName val="btirana€"/>
      <sheetName val="09lizing"/>
      <sheetName val="lizing 09"/>
      <sheetName val="inv.mjk"/>
      <sheetName val="lizing 08"/>
      <sheetName val="kont.286"/>
      <sheetName val="kont.148"/>
      <sheetName val="kont 144"/>
      <sheetName val="kont.113"/>
      <sheetName val="kont 535"/>
      <sheetName val="kont 543"/>
      <sheetName val="kont 559"/>
      <sheetName val="kont678"/>
      <sheetName val="144"/>
      <sheetName val="286"/>
      <sheetName val="148"/>
      <sheetName val="113"/>
      <sheetName val="543"/>
      <sheetName val="559"/>
      <sheetName val="535"/>
      <sheetName val="678"/>
      <sheetName val="permb.liz.0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3406779.7725999802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8">
          <cell r="C148" t="str">
            <v>26.06.2010</v>
          </cell>
        </row>
        <row r="232">
          <cell r="C232" t="str">
            <v>12.02.2010</v>
          </cell>
        </row>
        <row r="327">
          <cell r="E327">
            <v>34050</v>
          </cell>
          <cell r="H327" t="str">
            <v>kasa</v>
          </cell>
        </row>
        <row r="329">
          <cell r="D329" t="str">
            <v>kompjuter turi</v>
          </cell>
          <cell r="E329">
            <v>154210</v>
          </cell>
        </row>
        <row r="330">
          <cell r="E330">
            <v>295783</v>
          </cell>
          <cell r="H330" t="str">
            <v>sistemi  kamer vezhgimi</v>
          </cell>
        </row>
        <row r="341">
          <cell r="H341" t="str">
            <v>kompjuter +……..</v>
          </cell>
        </row>
      </sheetData>
      <sheetData sheetId="19"/>
      <sheetData sheetId="20"/>
      <sheetData sheetId="21"/>
      <sheetData sheetId="22">
        <row r="8">
          <cell r="A8" t="str">
            <v>22.01.10</v>
          </cell>
        </row>
      </sheetData>
      <sheetData sheetId="23"/>
      <sheetData sheetId="24"/>
      <sheetData sheetId="25">
        <row r="7">
          <cell r="A7" t="str">
            <v>28.12.09</v>
          </cell>
        </row>
      </sheetData>
      <sheetData sheetId="26"/>
      <sheetData sheetId="27"/>
      <sheetData sheetId="28">
        <row r="101">
          <cell r="E101">
            <v>24025</v>
          </cell>
        </row>
        <row r="364">
          <cell r="B364" t="str">
            <v>11.12.10</v>
          </cell>
          <cell r="D364" t="str">
            <v>stufa alogenia solaria</v>
          </cell>
          <cell r="E364">
            <v>6733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14">
          <cell r="J214">
            <v>4753687</v>
          </cell>
        </row>
      </sheetData>
      <sheetData sheetId="41">
        <row r="19">
          <cell r="A19" t="str">
            <v>26.02.10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14">
          <cell r="E114">
            <v>1812470.0432000004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36">
          <cell r="D136">
            <v>34297.166666666664</v>
          </cell>
        </row>
      </sheetData>
      <sheetData sheetId="62">
        <row r="4">
          <cell r="B4">
            <v>9801.4599999999991</v>
          </cell>
        </row>
      </sheetData>
      <sheetData sheetId="63"/>
      <sheetData sheetId="64"/>
      <sheetData sheetId="65">
        <row r="12">
          <cell r="F12">
            <v>8164.05</v>
          </cell>
        </row>
      </sheetData>
      <sheetData sheetId="66">
        <row r="21">
          <cell r="F21">
            <v>5173.37</v>
          </cell>
        </row>
      </sheetData>
      <sheetData sheetId="67">
        <row r="18">
          <cell r="F18">
            <v>1506.96</v>
          </cell>
        </row>
      </sheetData>
      <sheetData sheetId="68">
        <row r="27">
          <cell r="F27">
            <v>8129.5</v>
          </cell>
        </row>
      </sheetData>
      <sheetData sheetId="69">
        <row r="33">
          <cell r="F33">
            <v>18987.73</v>
          </cell>
        </row>
      </sheetData>
      <sheetData sheetId="70">
        <row r="33">
          <cell r="F33">
            <v>1593.68</v>
          </cell>
        </row>
      </sheetData>
      <sheetData sheetId="71">
        <row r="34">
          <cell r="F34">
            <v>2656.23</v>
          </cell>
        </row>
      </sheetData>
      <sheetData sheetId="72">
        <row r="33">
          <cell r="F33">
            <v>8859.93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artelat e llogarive 2012"/>
      <sheetName val="Gjendja e llogarive 2012"/>
      <sheetName val="BGJ 2012"/>
      <sheetName val="PASH 2012"/>
      <sheetName val="CF 2012"/>
      <sheetName val="Ndryshimet ne kapital 2012"/>
      <sheetName val="Tatim fitimi 2012"/>
      <sheetName val="Shpenzimet e pazbritshme 2012"/>
    </sheetNames>
    <sheetDataSet>
      <sheetData sheetId="0"/>
      <sheetData sheetId="1">
        <row r="10">
          <cell r="D10">
            <v>20724.41</v>
          </cell>
        </row>
        <row r="11">
          <cell r="E11">
            <v>696</v>
          </cell>
        </row>
        <row r="12">
          <cell r="E12">
            <v>0.8</v>
          </cell>
        </row>
        <row r="13">
          <cell r="E13">
            <v>75499</v>
          </cell>
        </row>
        <row r="15">
          <cell r="E15">
            <v>3885</v>
          </cell>
        </row>
        <row r="30">
          <cell r="D30">
            <v>188873.57600000009</v>
          </cell>
        </row>
        <row r="32">
          <cell r="E32">
            <v>335.93</v>
          </cell>
        </row>
        <row r="33">
          <cell r="E33">
            <v>27186.28</v>
          </cell>
        </row>
        <row r="35">
          <cell r="E35">
            <v>38875.699999999997</v>
          </cell>
        </row>
        <row r="39">
          <cell r="D39">
            <v>474900.59</v>
          </cell>
        </row>
        <row r="40">
          <cell r="D40">
            <v>50.73</v>
          </cell>
        </row>
        <row r="41">
          <cell r="D41">
            <v>174972.7</v>
          </cell>
        </row>
        <row r="42">
          <cell r="D42">
            <v>13093.04</v>
          </cell>
        </row>
        <row r="43">
          <cell r="D43">
            <v>426.88</v>
          </cell>
        </row>
        <row r="44">
          <cell r="D44">
            <v>7020</v>
          </cell>
        </row>
        <row r="45">
          <cell r="D45">
            <v>1016.87</v>
          </cell>
        </row>
        <row r="46">
          <cell r="D46">
            <v>201</v>
          </cell>
        </row>
        <row r="47">
          <cell r="D47">
            <v>3000</v>
          </cell>
        </row>
        <row r="48">
          <cell r="D48">
            <v>171.39</v>
          </cell>
        </row>
        <row r="49">
          <cell r="D49">
            <v>15447.24</v>
          </cell>
        </row>
        <row r="50">
          <cell r="D50">
            <v>251.6</v>
          </cell>
        </row>
        <row r="51">
          <cell r="D51">
            <v>920</v>
          </cell>
        </row>
        <row r="52">
          <cell r="D52">
            <v>250</v>
          </cell>
        </row>
        <row r="53">
          <cell r="D53">
            <v>51351.05</v>
          </cell>
        </row>
        <row r="54">
          <cell r="D54">
            <v>1.1299999999999999</v>
          </cell>
        </row>
        <row r="55">
          <cell r="D55">
            <v>2845.91</v>
          </cell>
        </row>
        <row r="57">
          <cell r="E57">
            <v>553155.66</v>
          </cell>
        </row>
        <row r="58">
          <cell r="E58">
            <v>4.07</v>
          </cell>
        </row>
      </sheetData>
      <sheetData sheetId="2">
        <row r="16">
          <cell r="E16">
            <v>50.73</v>
          </cell>
          <cell r="H16">
            <v>131.41999999999999</v>
          </cell>
        </row>
        <row r="27">
          <cell r="I27">
            <v>-259572.1560000001</v>
          </cell>
        </row>
        <row r="37">
          <cell r="I37">
            <v>-10029.82</v>
          </cell>
        </row>
        <row r="79">
          <cell r="I79">
            <v>16459.98000000001</v>
          </cell>
        </row>
        <row r="102">
          <cell r="E102">
            <v>538070.60400000005</v>
          </cell>
        </row>
      </sheetData>
      <sheetData sheetId="3">
        <row r="1">
          <cell r="A1" t="str">
            <v xml:space="preserve"> GARDEN LINE SHPK - DEGA NE KOSOVE</v>
          </cell>
        </row>
        <row r="34">
          <cell r="D34">
            <v>282190.92000000004</v>
          </cell>
        </row>
        <row r="37">
          <cell r="D37">
            <v>-29129.606000000007</v>
          </cell>
        </row>
        <row r="39">
          <cell r="D39">
            <v>253061.31400000004</v>
          </cell>
        </row>
      </sheetData>
      <sheetData sheetId="4"/>
      <sheetData sheetId="5"/>
      <sheetData sheetId="6"/>
      <sheetData sheetId="7">
        <row r="274">
          <cell r="F274">
            <v>9105.14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jendja e llogarive 2011"/>
      <sheetName val="PASH"/>
      <sheetName val="BGJ"/>
      <sheetName val="CF"/>
      <sheetName val="Ndryshimet ne kapital"/>
      <sheetName val="Deklarata e te H&amp;SH"/>
      <sheetName val="Pasqyra 2011"/>
      <sheetName val="Shpenzimet e pazbritshme"/>
    </sheetNames>
    <sheetDataSet>
      <sheetData sheetId="0" refreshError="1"/>
      <sheetData sheetId="1" refreshError="1">
        <row r="38">
          <cell r="D38">
            <v>288878.93</v>
          </cell>
          <cell r="G38">
            <v>-3869.6399999999985</v>
          </cell>
        </row>
      </sheetData>
      <sheetData sheetId="2" refreshError="1">
        <row r="105">
          <cell r="E105">
            <v>285009.28999999998</v>
          </cell>
          <cell r="H105">
            <v>-3869.6399999999985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M13" sqref="M13"/>
    </sheetView>
  </sheetViews>
  <sheetFormatPr defaultColWidth="8" defaultRowHeight="18.75"/>
  <cols>
    <col min="1" max="4" width="8" style="385"/>
    <col min="5" max="5" width="12.5703125" style="385" customWidth="1"/>
    <col min="6" max="6" width="8" style="385"/>
    <col min="7" max="7" width="11.5703125" style="385" bestFit="1" customWidth="1"/>
    <col min="8" max="9" width="8" style="385"/>
    <col min="10" max="10" width="16.28515625" style="385" customWidth="1"/>
    <col min="11" max="260" width="8" style="385"/>
    <col min="261" max="261" width="12.5703125" style="385" customWidth="1"/>
    <col min="262" max="262" width="8" style="385"/>
    <col min="263" max="263" width="11.5703125" style="385" bestFit="1" customWidth="1"/>
    <col min="264" max="265" width="8" style="385"/>
    <col min="266" max="266" width="13.140625" style="385" customWidth="1"/>
    <col min="267" max="516" width="8" style="385"/>
    <col min="517" max="517" width="12.5703125" style="385" customWidth="1"/>
    <col min="518" max="518" width="8" style="385"/>
    <col min="519" max="519" width="11.5703125" style="385" bestFit="1" customWidth="1"/>
    <col min="520" max="521" width="8" style="385"/>
    <col min="522" max="522" width="13.140625" style="385" customWidth="1"/>
    <col min="523" max="772" width="8" style="385"/>
    <col min="773" max="773" width="12.5703125" style="385" customWidth="1"/>
    <col min="774" max="774" width="8" style="385"/>
    <col min="775" max="775" width="11.5703125" style="385" bestFit="1" customWidth="1"/>
    <col min="776" max="777" width="8" style="385"/>
    <col min="778" max="778" width="13.140625" style="385" customWidth="1"/>
    <col min="779" max="1028" width="8" style="385"/>
    <col min="1029" max="1029" width="12.5703125" style="385" customWidth="1"/>
    <col min="1030" max="1030" width="8" style="385"/>
    <col min="1031" max="1031" width="11.5703125" style="385" bestFit="1" customWidth="1"/>
    <col min="1032" max="1033" width="8" style="385"/>
    <col min="1034" max="1034" width="13.140625" style="385" customWidth="1"/>
    <col min="1035" max="1284" width="8" style="385"/>
    <col min="1285" max="1285" width="12.5703125" style="385" customWidth="1"/>
    <col min="1286" max="1286" width="8" style="385"/>
    <col min="1287" max="1287" width="11.5703125" style="385" bestFit="1" customWidth="1"/>
    <col min="1288" max="1289" width="8" style="385"/>
    <col min="1290" max="1290" width="13.140625" style="385" customWidth="1"/>
    <col min="1291" max="1540" width="8" style="385"/>
    <col min="1541" max="1541" width="12.5703125" style="385" customWidth="1"/>
    <col min="1542" max="1542" width="8" style="385"/>
    <col min="1543" max="1543" width="11.5703125" style="385" bestFit="1" customWidth="1"/>
    <col min="1544" max="1545" width="8" style="385"/>
    <col min="1546" max="1546" width="13.140625" style="385" customWidth="1"/>
    <col min="1547" max="1796" width="8" style="385"/>
    <col min="1797" max="1797" width="12.5703125" style="385" customWidth="1"/>
    <col min="1798" max="1798" width="8" style="385"/>
    <col min="1799" max="1799" width="11.5703125" style="385" bestFit="1" customWidth="1"/>
    <col min="1800" max="1801" width="8" style="385"/>
    <col min="1802" max="1802" width="13.140625" style="385" customWidth="1"/>
    <col min="1803" max="2052" width="8" style="385"/>
    <col min="2053" max="2053" width="12.5703125" style="385" customWidth="1"/>
    <col min="2054" max="2054" width="8" style="385"/>
    <col min="2055" max="2055" width="11.5703125" style="385" bestFit="1" customWidth="1"/>
    <col min="2056" max="2057" width="8" style="385"/>
    <col min="2058" max="2058" width="13.140625" style="385" customWidth="1"/>
    <col min="2059" max="2308" width="8" style="385"/>
    <col min="2309" max="2309" width="12.5703125" style="385" customWidth="1"/>
    <col min="2310" max="2310" width="8" style="385"/>
    <col min="2311" max="2311" width="11.5703125" style="385" bestFit="1" customWidth="1"/>
    <col min="2312" max="2313" width="8" style="385"/>
    <col min="2314" max="2314" width="13.140625" style="385" customWidth="1"/>
    <col min="2315" max="2564" width="8" style="385"/>
    <col min="2565" max="2565" width="12.5703125" style="385" customWidth="1"/>
    <col min="2566" max="2566" width="8" style="385"/>
    <col min="2567" max="2567" width="11.5703125" style="385" bestFit="1" customWidth="1"/>
    <col min="2568" max="2569" width="8" style="385"/>
    <col min="2570" max="2570" width="13.140625" style="385" customWidth="1"/>
    <col min="2571" max="2820" width="8" style="385"/>
    <col min="2821" max="2821" width="12.5703125" style="385" customWidth="1"/>
    <col min="2822" max="2822" width="8" style="385"/>
    <col min="2823" max="2823" width="11.5703125" style="385" bestFit="1" customWidth="1"/>
    <col min="2824" max="2825" width="8" style="385"/>
    <col min="2826" max="2826" width="13.140625" style="385" customWidth="1"/>
    <col min="2827" max="3076" width="8" style="385"/>
    <col min="3077" max="3077" width="12.5703125" style="385" customWidth="1"/>
    <col min="3078" max="3078" width="8" style="385"/>
    <col min="3079" max="3079" width="11.5703125" style="385" bestFit="1" customWidth="1"/>
    <col min="3080" max="3081" width="8" style="385"/>
    <col min="3082" max="3082" width="13.140625" style="385" customWidth="1"/>
    <col min="3083" max="3332" width="8" style="385"/>
    <col min="3333" max="3333" width="12.5703125" style="385" customWidth="1"/>
    <col min="3334" max="3334" width="8" style="385"/>
    <col min="3335" max="3335" width="11.5703125" style="385" bestFit="1" customWidth="1"/>
    <col min="3336" max="3337" width="8" style="385"/>
    <col min="3338" max="3338" width="13.140625" style="385" customWidth="1"/>
    <col min="3339" max="3588" width="8" style="385"/>
    <col min="3589" max="3589" width="12.5703125" style="385" customWidth="1"/>
    <col min="3590" max="3590" width="8" style="385"/>
    <col min="3591" max="3591" width="11.5703125" style="385" bestFit="1" customWidth="1"/>
    <col min="3592" max="3593" width="8" style="385"/>
    <col min="3594" max="3594" width="13.140625" style="385" customWidth="1"/>
    <col min="3595" max="3844" width="8" style="385"/>
    <col min="3845" max="3845" width="12.5703125" style="385" customWidth="1"/>
    <col min="3846" max="3846" width="8" style="385"/>
    <col min="3847" max="3847" width="11.5703125" style="385" bestFit="1" customWidth="1"/>
    <col min="3848" max="3849" width="8" style="385"/>
    <col min="3850" max="3850" width="13.140625" style="385" customWidth="1"/>
    <col min="3851" max="4100" width="8" style="385"/>
    <col min="4101" max="4101" width="12.5703125" style="385" customWidth="1"/>
    <col min="4102" max="4102" width="8" style="385"/>
    <col min="4103" max="4103" width="11.5703125" style="385" bestFit="1" customWidth="1"/>
    <col min="4104" max="4105" width="8" style="385"/>
    <col min="4106" max="4106" width="13.140625" style="385" customWidth="1"/>
    <col min="4107" max="4356" width="8" style="385"/>
    <col min="4357" max="4357" width="12.5703125" style="385" customWidth="1"/>
    <col min="4358" max="4358" width="8" style="385"/>
    <col min="4359" max="4359" width="11.5703125" style="385" bestFit="1" customWidth="1"/>
    <col min="4360" max="4361" width="8" style="385"/>
    <col min="4362" max="4362" width="13.140625" style="385" customWidth="1"/>
    <col min="4363" max="4612" width="8" style="385"/>
    <col min="4613" max="4613" width="12.5703125" style="385" customWidth="1"/>
    <col min="4614" max="4614" width="8" style="385"/>
    <col min="4615" max="4615" width="11.5703125" style="385" bestFit="1" customWidth="1"/>
    <col min="4616" max="4617" width="8" style="385"/>
    <col min="4618" max="4618" width="13.140625" style="385" customWidth="1"/>
    <col min="4619" max="4868" width="8" style="385"/>
    <col min="4869" max="4869" width="12.5703125" style="385" customWidth="1"/>
    <col min="4870" max="4870" width="8" style="385"/>
    <col min="4871" max="4871" width="11.5703125" style="385" bestFit="1" customWidth="1"/>
    <col min="4872" max="4873" width="8" style="385"/>
    <col min="4874" max="4874" width="13.140625" style="385" customWidth="1"/>
    <col min="4875" max="5124" width="8" style="385"/>
    <col min="5125" max="5125" width="12.5703125" style="385" customWidth="1"/>
    <col min="5126" max="5126" width="8" style="385"/>
    <col min="5127" max="5127" width="11.5703125" style="385" bestFit="1" customWidth="1"/>
    <col min="5128" max="5129" width="8" style="385"/>
    <col min="5130" max="5130" width="13.140625" style="385" customWidth="1"/>
    <col min="5131" max="5380" width="8" style="385"/>
    <col min="5381" max="5381" width="12.5703125" style="385" customWidth="1"/>
    <col min="5382" max="5382" width="8" style="385"/>
    <col min="5383" max="5383" width="11.5703125" style="385" bestFit="1" customWidth="1"/>
    <col min="5384" max="5385" width="8" style="385"/>
    <col min="5386" max="5386" width="13.140625" style="385" customWidth="1"/>
    <col min="5387" max="5636" width="8" style="385"/>
    <col min="5637" max="5637" width="12.5703125" style="385" customWidth="1"/>
    <col min="5638" max="5638" width="8" style="385"/>
    <col min="5639" max="5639" width="11.5703125" style="385" bestFit="1" customWidth="1"/>
    <col min="5640" max="5641" width="8" style="385"/>
    <col min="5642" max="5642" width="13.140625" style="385" customWidth="1"/>
    <col min="5643" max="5892" width="8" style="385"/>
    <col min="5893" max="5893" width="12.5703125" style="385" customWidth="1"/>
    <col min="5894" max="5894" width="8" style="385"/>
    <col min="5895" max="5895" width="11.5703125" style="385" bestFit="1" customWidth="1"/>
    <col min="5896" max="5897" width="8" style="385"/>
    <col min="5898" max="5898" width="13.140625" style="385" customWidth="1"/>
    <col min="5899" max="6148" width="8" style="385"/>
    <col min="6149" max="6149" width="12.5703125" style="385" customWidth="1"/>
    <col min="6150" max="6150" width="8" style="385"/>
    <col min="6151" max="6151" width="11.5703125" style="385" bestFit="1" customWidth="1"/>
    <col min="6152" max="6153" width="8" style="385"/>
    <col min="6154" max="6154" width="13.140625" style="385" customWidth="1"/>
    <col min="6155" max="6404" width="8" style="385"/>
    <col min="6405" max="6405" width="12.5703125" style="385" customWidth="1"/>
    <col min="6406" max="6406" width="8" style="385"/>
    <col min="6407" max="6407" width="11.5703125" style="385" bestFit="1" customWidth="1"/>
    <col min="6408" max="6409" width="8" style="385"/>
    <col min="6410" max="6410" width="13.140625" style="385" customWidth="1"/>
    <col min="6411" max="6660" width="8" style="385"/>
    <col min="6661" max="6661" width="12.5703125" style="385" customWidth="1"/>
    <col min="6662" max="6662" width="8" style="385"/>
    <col min="6663" max="6663" width="11.5703125" style="385" bestFit="1" customWidth="1"/>
    <col min="6664" max="6665" width="8" style="385"/>
    <col min="6666" max="6666" width="13.140625" style="385" customWidth="1"/>
    <col min="6667" max="6916" width="8" style="385"/>
    <col min="6917" max="6917" width="12.5703125" style="385" customWidth="1"/>
    <col min="6918" max="6918" width="8" style="385"/>
    <col min="6919" max="6919" width="11.5703125" style="385" bestFit="1" customWidth="1"/>
    <col min="6920" max="6921" width="8" style="385"/>
    <col min="6922" max="6922" width="13.140625" style="385" customWidth="1"/>
    <col min="6923" max="7172" width="8" style="385"/>
    <col min="7173" max="7173" width="12.5703125" style="385" customWidth="1"/>
    <col min="7174" max="7174" width="8" style="385"/>
    <col min="7175" max="7175" width="11.5703125" style="385" bestFit="1" customWidth="1"/>
    <col min="7176" max="7177" width="8" style="385"/>
    <col min="7178" max="7178" width="13.140625" style="385" customWidth="1"/>
    <col min="7179" max="7428" width="8" style="385"/>
    <col min="7429" max="7429" width="12.5703125" style="385" customWidth="1"/>
    <col min="7430" max="7430" width="8" style="385"/>
    <col min="7431" max="7431" width="11.5703125" style="385" bestFit="1" customWidth="1"/>
    <col min="7432" max="7433" width="8" style="385"/>
    <col min="7434" max="7434" width="13.140625" style="385" customWidth="1"/>
    <col min="7435" max="7684" width="8" style="385"/>
    <col min="7685" max="7685" width="12.5703125" style="385" customWidth="1"/>
    <col min="7686" max="7686" width="8" style="385"/>
    <col min="7687" max="7687" width="11.5703125" style="385" bestFit="1" customWidth="1"/>
    <col min="7688" max="7689" width="8" style="385"/>
    <col min="7690" max="7690" width="13.140625" style="385" customWidth="1"/>
    <col min="7691" max="7940" width="8" style="385"/>
    <col min="7941" max="7941" width="12.5703125" style="385" customWidth="1"/>
    <col min="7942" max="7942" width="8" style="385"/>
    <col min="7943" max="7943" width="11.5703125" style="385" bestFit="1" customWidth="1"/>
    <col min="7944" max="7945" width="8" style="385"/>
    <col min="7946" max="7946" width="13.140625" style="385" customWidth="1"/>
    <col min="7947" max="8196" width="8" style="385"/>
    <col min="8197" max="8197" width="12.5703125" style="385" customWidth="1"/>
    <col min="8198" max="8198" width="8" style="385"/>
    <col min="8199" max="8199" width="11.5703125" style="385" bestFit="1" customWidth="1"/>
    <col min="8200" max="8201" width="8" style="385"/>
    <col min="8202" max="8202" width="13.140625" style="385" customWidth="1"/>
    <col min="8203" max="8452" width="8" style="385"/>
    <col min="8453" max="8453" width="12.5703125" style="385" customWidth="1"/>
    <col min="8454" max="8454" width="8" style="385"/>
    <col min="8455" max="8455" width="11.5703125" style="385" bestFit="1" customWidth="1"/>
    <col min="8456" max="8457" width="8" style="385"/>
    <col min="8458" max="8458" width="13.140625" style="385" customWidth="1"/>
    <col min="8459" max="8708" width="8" style="385"/>
    <col min="8709" max="8709" width="12.5703125" style="385" customWidth="1"/>
    <col min="8710" max="8710" width="8" style="385"/>
    <col min="8711" max="8711" width="11.5703125" style="385" bestFit="1" customWidth="1"/>
    <col min="8712" max="8713" width="8" style="385"/>
    <col min="8714" max="8714" width="13.140625" style="385" customWidth="1"/>
    <col min="8715" max="8964" width="8" style="385"/>
    <col min="8965" max="8965" width="12.5703125" style="385" customWidth="1"/>
    <col min="8966" max="8966" width="8" style="385"/>
    <col min="8967" max="8967" width="11.5703125" style="385" bestFit="1" customWidth="1"/>
    <col min="8968" max="8969" width="8" style="385"/>
    <col min="8970" max="8970" width="13.140625" style="385" customWidth="1"/>
    <col min="8971" max="9220" width="8" style="385"/>
    <col min="9221" max="9221" width="12.5703125" style="385" customWidth="1"/>
    <col min="9222" max="9222" width="8" style="385"/>
    <col min="9223" max="9223" width="11.5703125" style="385" bestFit="1" customWidth="1"/>
    <col min="9224" max="9225" width="8" style="385"/>
    <col min="9226" max="9226" width="13.140625" style="385" customWidth="1"/>
    <col min="9227" max="9476" width="8" style="385"/>
    <col min="9477" max="9477" width="12.5703125" style="385" customWidth="1"/>
    <col min="9478" max="9478" width="8" style="385"/>
    <col min="9479" max="9479" width="11.5703125" style="385" bestFit="1" customWidth="1"/>
    <col min="9480" max="9481" width="8" style="385"/>
    <col min="9482" max="9482" width="13.140625" style="385" customWidth="1"/>
    <col min="9483" max="9732" width="8" style="385"/>
    <col min="9733" max="9733" width="12.5703125" style="385" customWidth="1"/>
    <col min="9734" max="9734" width="8" style="385"/>
    <col min="9735" max="9735" width="11.5703125" style="385" bestFit="1" customWidth="1"/>
    <col min="9736" max="9737" width="8" style="385"/>
    <col min="9738" max="9738" width="13.140625" style="385" customWidth="1"/>
    <col min="9739" max="9988" width="8" style="385"/>
    <col min="9989" max="9989" width="12.5703125" style="385" customWidth="1"/>
    <col min="9990" max="9990" width="8" style="385"/>
    <col min="9991" max="9991" width="11.5703125" style="385" bestFit="1" customWidth="1"/>
    <col min="9992" max="9993" width="8" style="385"/>
    <col min="9994" max="9994" width="13.140625" style="385" customWidth="1"/>
    <col min="9995" max="10244" width="8" style="385"/>
    <col min="10245" max="10245" width="12.5703125" style="385" customWidth="1"/>
    <col min="10246" max="10246" width="8" style="385"/>
    <col min="10247" max="10247" width="11.5703125" style="385" bestFit="1" customWidth="1"/>
    <col min="10248" max="10249" width="8" style="385"/>
    <col min="10250" max="10250" width="13.140625" style="385" customWidth="1"/>
    <col min="10251" max="10500" width="8" style="385"/>
    <col min="10501" max="10501" width="12.5703125" style="385" customWidth="1"/>
    <col min="10502" max="10502" width="8" style="385"/>
    <col min="10503" max="10503" width="11.5703125" style="385" bestFit="1" customWidth="1"/>
    <col min="10504" max="10505" width="8" style="385"/>
    <col min="10506" max="10506" width="13.140625" style="385" customWidth="1"/>
    <col min="10507" max="10756" width="8" style="385"/>
    <col min="10757" max="10757" width="12.5703125" style="385" customWidth="1"/>
    <col min="10758" max="10758" width="8" style="385"/>
    <col min="10759" max="10759" width="11.5703125" style="385" bestFit="1" customWidth="1"/>
    <col min="10760" max="10761" width="8" style="385"/>
    <col min="10762" max="10762" width="13.140625" style="385" customWidth="1"/>
    <col min="10763" max="11012" width="8" style="385"/>
    <col min="11013" max="11013" width="12.5703125" style="385" customWidth="1"/>
    <col min="11014" max="11014" width="8" style="385"/>
    <col min="11015" max="11015" width="11.5703125" style="385" bestFit="1" customWidth="1"/>
    <col min="11016" max="11017" width="8" style="385"/>
    <col min="11018" max="11018" width="13.140625" style="385" customWidth="1"/>
    <col min="11019" max="11268" width="8" style="385"/>
    <col min="11269" max="11269" width="12.5703125" style="385" customWidth="1"/>
    <col min="11270" max="11270" width="8" style="385"/>
    <col min="11271" max="11271" width="11.5703125" style="385" bestFit="1" customWidth="1"/>
    <col min="11272" max="11273" width="8" style="385"/>
    <col min="11274" max="11274" width="13.140625" style="385" customWidth="1"/>
    <col min="11275" max="11524" width="8" style="385"/>
    <col min="11525" max="11525" width="12.5703125" style="385" customWidth="1"/>
    <col min="11526" max="11526" width="8" style="385"/>
    <col min="11527" max="11527" width="11.5703125" style="385" bestFit="1" customWidth="1"/>
    <col min="11528" max="11529" width="8" style="385"/>
    <col min="11530" max="11530" width="13.140625" style="385" customWidth="1"/>
    <col min="11531" max="11780" width="8" style="385"/>
    <col min="11781" max="11781" width="12.5703125" style="385" customWidth="1"/>
    <col min="11782" max="11782" width="8" style="385"/>
    <col min="11783" max="11783" width="11.5703125" style="385" bestFit="1" customWidth="1"/>
    <col min="11784" max="11785" width="8" style="385"/>
    <col min="11786" max="11786" width="13.140625" style="385" customWidth="1"/>
    <col min="11787" max="12036" width="8" style="385"/>
    <col min="12037" max="12037" width="12.5703125" style="385" customWidth="1"/>
    <col min="12038" max="12038" width="8" style="385"/>
    <col min="12039" max="12039" width="11.5703125" style="385" bestFit="1" customWidth="1"/>
    <col min="12040" max="12041" width="8" style="385"/>
    <col min="12042" max="12042" width="13.140625" style="385" customWidth="1"/>
    <col min="12043" max="12292" width="8" style="385"/>
    <col min="12293" max="12293" width="12.5703125" style="385" customWidth="1"/>
    <col min="12294" max="12294" width="8" style="385"/>
    <col min="12295" max="12295" width="11.5703125" style="385" bestFit="1" customWidth="1"/>
    <col min="12296" max="12297" width="8" style="385"/>
    <col min="12298" max="12298" width="13.140625" style="385" customWidth="1"/>
    <col min="12299" max="12548" width="8" style="385"/>
    <col min="12549" max="12549" width="12.5703125" style="385" customWidth="1"/>
    <col min="12550" max="12550" width="8" style="385"/>
    <col min="12551" max="12551" width="11.5703125" style="385" bestFit="1" customWidth="1"/>
    <col min="12552" max="12553" width="8" style="385"/>
    <col min="12554" max="12554" width="13.140625" style="385" customWidth="1"/>
    <col min="12555" max="12804" width="8" style="385"/>
    <col min="12805" max="12805" width="12.5703125" style="385" customWidth="1"/>
    <col min="12806" max="12806" width="8" style="385"/>
    <col min="12807" max="12807" width="11.5703125" style="385" bestFit="1" customWidth="1"/>
    <col min="12808" max="12809" width="8" style="385"/>
    <col min="12810" max="12810" width="13.140625" style="385" customWidth="1"/>
    <col min="12811" max="13060" width="8" style="385"/>
    <col min="13061" max="13061" width="12.5703125" style="385" customWidth="1"/>
    <col min="13062" max="13062" width="8" style="385"/>
    <col min="13063" max="13063" width="11.5703125" style="385" bestFit="1" customWidth="1"/>
    <col min="13064" max="13065" width="8" style="385"/>
    <col min="13066" max="13066" width="13.140625" style="385" customWidth="1"/>
    <col min="13067" max="13316" width="8" style="385"/>
    <col min="13317" max="13317" width="12.5703125" style="385" customWidth="1"/>
    <col min="13318" max="13318" width="8" style="385"/>
    <col min="13319" max="13319" width="11.5703125" style="385" bestFit="1" customWidth="1"/>
    <col min="13320" max="13321" width="8" style="385"/>
    <col min="13322" max="13322" width="13.140625" style="385" customWidth="1"/>
    <col min="13323" max="13572" width="8" style="385"/>
    <col min="13573" max="13573" width="12.5703125" style="385" customWidth="1"/>
    <col min="13574" max="13574" width="8" style="385"/>
    <col min="13575" max="13575" width="11.5703125" style="385" bestFit="1" customWidth="1"/>
    <col min="13576" max="13577" width="8" style="385"/>
    <col min="13578" max="13578" width="13.140625" style="385" customWidth="1"/>
    <col min="13579" max="13828" width="8" style="385"/>
    <col min="13829" max="13829" width="12.5703125" style="385" customWidth="1"/>
    <col min="13830" max="13830" width="8" style="385"/>
    <col min="13831" max="13831" width="11.5703125" style="385" bestFit="1" customWidth="1"/>
    <col min="13832" max="13833" width="8" style="385"/>
    <col min="13834" max="13834" width="13.140625" style="385" customWidth="1"/>
    <col min="13835" max="14084" width="8" style="385"/>
    <col min="14085" max="14085" width="12.5703125" style="385" customWidth="1"/>
    <col min="14086" max="14086" width="8" style="385"/>
    <col min="14087" max="14087" width="11.5703125" style="385" bestFit="1" customWidth="1"/>
    <col min="14088" max="14089" width="8" style="385"/>
    <col min="14090" max="14090" width="13.140625" style="385" customWidth="1"/>
    <col min="14091" max="14340" width="8" style="385"/>
    <col min="14341" max="14341" width="12.5703125" style="385" customWidth="1"/>
    <col min="14342" max="14342" width="8" style="385"/>
    <col min="14343" max="14343" width="11.5703125" style="385" bestFit="1" customWidth="1"/>
    <col min="14344" max="14345" width="8" style="385"/>
    <col min="14346" max="14346" width="13.140625" style="385" customWidth="1"/>
    <col min="14347" max="14596" width="8" style="385"/>
    <col min="14597" max="14597" width="12.5703125" style="385" customWidth="1"/>
    <col min="14598" max="14598" width="8" style="385"/>
    <col min="14599" max="14599" width="11.5703125" style="385" bestFit="1" customWidth="1"/>
    <col min="14600" max="14601" width="8" style="385"/>
    <col min="14602" max="14602" width="13.140625" style="385" customWidth="1"/>
    <col min="14603" max="14852" width="8" style="385"/>
    <col min="14853" max="14853" width="12.5703125" style="385" customWidth="1"/>
    <col min="14854" max="14854" width="8" style="385"/>
    <col min="14855" max="14855" width="11.5703125" style="385" bestFit="1" customWidth="1"/>
    <col min="14856" max="14857" width="8" style="385"/>
    <col min="14858" max="14858" width="13.140625" style="385" customWidth="1"/>
    <col min="14859" max="15108" width="8" style="385"/>
    <col min="15109" max="15109" width="12.5703125" style="385" customWidth="1"/>
    <col min="15110" max="15110" width="8" style="385"/>
    <col min="15111" max="15111" width="11.5703125" style="385" bestFit="1" customWidth="1"/>
    <col min="15112" max="15113" width="8" style="385"/>
    <col min="15114" max="15114" width="13.140625" style="385" customWidth="1"/>
    <col min="15115" max="15364" width="8" style="385"/>
    <col min="15365" max="15365" width="12.5703125" style="385" customWidth="1"/>
    <col min="15366" max="15366" width="8" style="385"/>
    <col min="15367" max="15367" width="11.5703125" style="385" bestFit="1" customWidth="1"/>
    <col min="15368" max="15369" width="8" style="385"/>
    <col min="15370" max="15370" width="13.140625" style="385" customWidth="1"/>
    <col min="15371" max="15620" width="8" style="385"/>
    <col min="15621" max="15621" width="12.5703125" style="385" customWidth="1"/>
    <col min="15622" max="15622" width="8" style="385"/>
    <col min="15623" max="15623" width="11.5703125" style="385" bestFit="1" customWidth="1"/>
    <col min="15624" max="15625" width="8" style="385"/>
    <col min="15626" max="15626" width="13.140625" style="385" customWidth="1"/>
    <col min="15627" max="15876" width="8" style="385"/>
    <col min="15877" max="15877" width="12.5703125" style="385" customWidth="1"/>
    <col min="15878" max="15878" width="8" style="385"/>
    <col min="15879" max="15879" width="11.5703125" style="385" bestFit="1" customWidth="1"/>
    <col min="15880" max="15881" width="8" style="385"/>
    <col min="15882" max="15882" width="13.140625" style="385" customWidth="1"/>
    <col min="15883" max="16132" width="8" style="385"/>
    <col min="16133" max="16133" width="12.5703125" style="385" customWidth="1"/>
    <col min="16134" max="16134" width="8" style="385"/>
    <col min="16135" max="16135" width="11.5703125" style="385" bestFit="1" customWidth="1"/>
    <col min="16136" max="16137" width="8" style="385"/>
    <col min="16138" max="16138" width="13.140625" style="385" customWidth="1"/>
    <col min="16139" max="16384" width="8" style="385"/>
  </cols>
  <sheetData>
    <row r="1" spans="1:15" ht="19.5">
      <c r="A1" s="379"/>
      <c r="B1" s="380" t="s">
        <v>748</v>
      </c>
      <c r="C1" s="381"/>
      <c r="D1" s="381"/>
      <c r="E1" s="381"/>
      <c r="F1" s="380" t="s">
        <v>749</v>
      </c>
      <c r="G1" s="382"/>
      <c r="H1" s="383" t="s">
        <v>750</v>
      </c>
      <c r="I1" s="382"/>
      <c r="J1" s="384"/>
    </row>
    <row r="2" spans="1:15">
      <c r="A2" s="386"/>
      <c r="B2" s="372" t="s">
        <v>751</v>
      </c>
      <c r="F2" s="387" t="s">
        <v>752</v>
      </c>
      <c r="G2" s="387"/>
      <c r="H2" s="387"/>
      <c r="I2" s="387"/>
      <c r="J2" s="388"/>
    </row>
    <row r="3" spans="1:15" ht="19.5">
      <c r="A3" s="386"/>
      <c r="B3" s="372" t="s">
        <v>753</v>
      </c>
      <c r="F3" s="389" t="s">
        <v>754</v>
      </c>
      <c r="J3" s="390"/>
    </row>
    <row r="4" spans="1:15">
      <c r="A4" s="386"/>
      <c r="F4" s="385" t="s">
        <v>755</v>
      </c>
      <c r="H4" s="391" t="s">
        <v>756</v>
      </c>
      <c r="J4" s="390"/>
    </row>
    <row r="5" spans="1:15">
      <c r="A5" s="386"/>
      <c r="J5" s="390"/>
    </row>
    <row r="6" spans="1:15">
      <c r="A6" s="386"/>
      <c r="J6" s="390"/>
    </row>
    <row r="7" spans="1:15" ht="19.5">
      <c r="A7" s="386"/>
      <c r="B7" s="389" t="s">
        <v>757</v>
      </c>
      <c r="E7" s="392"/>
      <c r="G7" s="385" t="s">
        <v>758</v>
      </c>
      <c r="J7" s="390"/>
    </row>
    <row r="8" spans="1:15">
      <c r="A8" s="386"/>
      <c r="B8" s="372"/>
      <c r="J8" s="390"/>
      <c r="N8" s="393"/>
      <c r="O8" s="393"/>
    </row>
    <row r="9" spans="1:15" ht="19.5">
      <c r="A9" s="386"/>
      <c r="B9" s="389" t="s">
        <v>759</v>
      </c>
      <c r="E9" s="387"/>
      <c r="G9" s="385">
        <v>25284</v>
      </c>
      <c r="J9" s="390"/>
    </row>
    <row r="10" spans="1:15">
      <c r="A10" s="386"/>
      <c r="B10" s="372"/>
      <c r="J10" s="390"/>
    </row>
    <row r="11" spans="1:15">
      <c r="A11" s="386"/>
      <c r="B11" s="372"/>
      <c r="J11" s="390"/>
    </row>
    <row r="12" spans="1:15" ht="19.5">
      <c r="A12" s="386"/>
      <c r="B12" s="371" t="s">
        <v>760</v>
      </c>
      <c r="G12" s="385" t="s">
        <v>761</v>
      </c>
      <c r="J12" s="390"/>
    </row>
    <row r="13" spans="1:15">
      <c r="A13" s="386"/>
      <c r="G13" s="385" t="s">
        <v>762</v>
      </c>
      <c r="J13" s="390"/>
    </row>
    <row r="14" spans="1:15" ht="19.5">
      <c r="A14" s="386"/>
      <c r="C14" s="371"/>
      <c r="J14" s="390"/>
    </row>
    <row r="15" spans="1:15">
      <c r="A15" s="386"/>
      <c r="J15" s="390"/>
    </row>
    <row r="16" spans="1:15">
      <c r="A16" s="386"/>
      <c r="J16" s="390"/>
    </row>
    <row r="17" spans="1:10" ht="20.25">
      <c r="A17" s="386"/>
      <c r="C17" s="373" t="s">
        <v>763</v>
      </c>
      <c r="J17" s="390"/>
    </row>
    <row r="18" spans="1:10">
      <c r="A18" s="386"/>
      <c r="B18" s="372" t="s">
        <v>764</v>
      </c>
      <c r="J18" s="390"/>
    </row>
    <row r="19" spans="1:10">
      <c r="A19" s="386"/>
      <c r="B19" s="372" t="s">
        <v>765</v>
      </c>
      <c r="J19" s="390"/>
    </row>
    <row r="20" spans="1:10">
      <c r="A20" s="386"/>
      <c r="J20" s="390"/>
    </row>
    <row r="21" spans="1:10" ht="20.25">
      <c r="A21" s="386"/>
      <c r="E21" s="394" t="s">
        <v>766</v>
      </c>
      <c r="F21" s="394"/>
      <c r="G21" s="394">
        <v>2012</v>
      </c>
      <c r="J21" s="390"/>
    </row>
    <row r="22" spans="1:10">
      <c r="A22" s="386"/>
      <c r="J22" s="390"/>
    </row>
    <row r="23" spans="1:10">
      <c r="A23" s="386"/>
      <c r="J23" s="390"/>
    </row>
    <row r="24" spans="1:10">
      <c r="A24" s="386"/>
      <c r="J24" s="390"/>
    </row>
    <row r="25" spans="1:10">
      <c r="A25" s="386"/>
      <c r="B25" s="372" t="s">
        <v>767</v>
      </c>
      <c r="J25" s="390"/>
    </row>
    <row r="26" spans="1:10">
      <c r="A26" s="386"/>
      <c r="B26" s="372" t="s">
        <v>768</v>
      </c>
      <c r="J26" s="390"/>
    </row>
    <row r="27" spans="1:10">
      <c r="A27" s="386"/>
      <c r="B27" s="372" t="s">
        <v>769</v>
      </c>
      <c r="I27" s="385" t="s">
        <v>10</v>
      </c>
      <c r="J27" s="390"/>
    </row>
    <row r="28" spans="1:10">
      <c r="A28" s="386"/>
      <c r="B28" s="372" t="s">
        <v>770</v>
      </c>
      <c r="J28" s="390"/>
    </row>
    <row r="29" spans="1:10">
      <c r="A29" s="386"/>
      <c r="B29" s="372"/>
      <c r="J29" s="390"/>
    </row>
    <row r="30" spans="1:10" ht="19.5">
      <c r="A30" s="386"/>
      <c r="B30" s="372" t="s">
        <v>771</v>
      </c>
      <c r="H30" s="371" t="s">
        <v>772</v>
      </c>
      <c r="I30" s="371" t="s">
        <v>340</v>
      </c>
      <c r="J30" s="395"/>
    </row>
    <row r="31" spans="1:10" ht="19.5">
      <c r="A31" s="386"/>
      <c r="B31" s="372"/>
      <c r="H31" s="371" t="s">
        <v>773</v>
      </c>
      <c r="I31" s="371" t="s">
        <v>341</v>
      </c>
      <c r="J31" s="395"/>
    </row>
    <row r="32" spans="1:10">
      <c r="A32" s="386"/>
      <c r="B32" s="372"/>
      <c r="J32" s="390"/>
    </row>
    <row r="33" spans="1:10">
      <c r="A33" s="386"/>
      <c r="B33" s="372" t="s">
        <v>774</v>
      </c>
      <c r="H33" s="385" t="s">
        <v>775</v>
      </c>
      <c r="J33" s="396"/>
    </row>
    <row r="34" spans="1:10">
      <c r="A34" s="386"/>
      <c r="J34" s="396"/>
    </row>
    <row r="35" spans="1:10">
      <c r="A35" s="386"/>
      <c r="J35" s="390"/>
    </row>
    <row r="36" spans="1:10">
      <c r="A36" s="386"/>
      <c r="J36" s="390"/>
    </row>
    <row r="37" spans="1:10" ht="19.5" thickBot="1">
      <c r="A37" s="397"/>
      <c r="B37" s="398"/>
      <c r="C37" s="398"/>
      <c r="D37" s="398"/>
      <c r="E37" s="398"/>
      <c r="F37" s="398"/>
      <c r="G37" s="398"/>
      <c r="H37" s="398"/>
      <c r="I37" s="398"/>
      <c r="J37" s="3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sqref="A1:XFD1048576"/>
    </sheetView>
  </sheetViews>
  <sheetFormatPr defaultRowHeight="18" customHeight="1"/>
  <cols>
    <col min="1" max="1" width="6.5703125" style="68" customWidth="1"/>
    <col min="2" max="2" width="0.28515625" style="68" hidden="1" customWidth="1"/>
    <col min="3" max="3" width="63.140625" style="68" customWidth="1"/>
    <col min="4" max="4" width="21.140625" style="289" customWidth="1"/>
    <col min="5" max="7" width="9.140625" style="68"/>
    <col min="8" max="8" width="9.85546875" style="68" bestFit="1" customWidth="1"/>
    <col min="9" max="256" width="9.140625" style="68"/>
    <col min="257" max="257" width="6.5703125" style="68" customWidth="1"/>
    <col min="258" max="258" width="0" style="68" hidden="1" customWidth="1"/>
    <col min="259" max="259" width="63.140625" style="68" customWidth="1"/>
    <col min="260" max="260" width="21.140625" style="68" customWidth="1"/>
    <col min="261" max="263" width="9.140625" style="68"/>
    <col min="264" max="264" width="9.85546875" style="68" bestFit="1" customWidth="1"/>
    <col min="265" max="512" width="9.140625" style="68"/>
    <col min="513" max="513" width="6.5703125" style="68" customWidth="1"/>
    <col min="514" max="514" width="0" style="68" hidden="1" customWidth="1"/>
    <col min="515" max="515" width="63.140625" style="68" customWidth="1"/>
    <col min="516" max="516" width="21.140625" style="68" customWidth="1"/>
    <col min="517" max="519" width="9.140625" style="68"/>
    <col min="520" max="520" width="9.85546875" style="68" bestFit="1" customWidth="1"/>
    <col min="521" max="768" width="9.140625" style="68"/>
    <col min="769" max="769" width="6.5703125" style="68" customWidth="1"/>
    <col min="770" max="770" width="0" style="68" hidden="1" customWidth="1"/>
    <col min="771" max="771" width="63.140625" style="68" customWidth="1"/>
    <col min="772" max="772" width="21.140625" style="68" customWidth="1"/>
    <col min="773" max="775" width="9.140625" style="68"/>
    <col min="776" max="776" width="9.85546875" style="68" bestFit="1" customWidth="1"/>
    <col min="777" max="1024" width="9.140625" style="68"/>
    <col min="1025" max="1025" width="6.5703125" style="68" customWidth="1"/>
    <col min="1026" max="1026" width="0" style="68" hidden="1" customWidth="1"/>
    <col min="1027" max="1027" width="63.140625" style="68" customWidth="1"/>
    <col min="1028" max="1028" width="21.140625" style="68" customWidth="1"/>
    <col min="1029" max="1031" width="9.140625" style="68"/>
    <col min="1032" max="1032" width="9.85546875" style="68" bestFit="1" customWidth="1"/>
    <col min="1033" max="1280" width="9.140625" style="68"/>
    <col min="1281" max="1281" width="6.5703125" style="68" customWidth="1"/>
    <col min="1282" max="1282" width="0" style="68" hidden="1" customWidth="1"/>
    <col min="1283" max="1283" width="63.140625" style="68" customWidth="1"/>
    <col min="1284" max="1284" width="21.140625" style="68" customWidth="1"/>
    <col min="1285" max="1287" width="9.140625" style="68"/>
    <col min="1288" max="1288" width="9.85546875" style="68" bestFit="1" customWidth="1"/>
    <col min="1289" max="1536" width="9.140625" style="68"/>
    <col min="1537" max="1537" width="6.5703125" style="68" customWidth="1"/>
    <col min="1538" max="1538" width="0" style="68" hidden="1" customWidth="1"/>
    <col min="1539" max="1539" width="63.140625" style="68" customWidth="1"/>
    <col min="1540" max="1540" width="21.140625" style="68" customWidth="1"/>
    <col min="1541" max="1543" width="9.140625" style="68"/>
    <col min="1544" max="1544" width="9.85546875" style="68" bestFit="1" customWidth="1"/>
    <col min="1545" max="1792" width="9.140625" style="68"/>
    <col min="1793" max="1793" width="6.5703125" style="68" customWidth="1"/>
    <col min="1794" max="1794" width="0" style="68" hidden="1" customWidth="1"/>
    <col min="1795" max="1795" width="63.140625" style="68" customWidth="1"/>
    <col min="1796" max="1796" width="21.140625" style="68" customWidth="1"/>
    <col min="1797" max="1799" width="9.140625" style="68"/>
    <col min="1800" max="1800" width="9.85546875" style="68" bestFit="1" customWidth="1"/>
    <col min="1801" max="2048" width="9.140625" style="68"/>
    <col min="2049" max="2049" width="6.5703125" style="68" customWidth="1"/>
    <col min="2050" max="2050" width="0" style="68" hidden="1" customWidth="1"/>
    <col min="2051" max="2051" width="63.140625" style="68" customWidth="1"/>
    <col min="2052" max="2052" width="21.140625" style="68" customWidth="1"/>
    <col min="2053" max="2055" width="9.140625" style="68"/>
    <col min="2056" max="2056" width="9.85546875" style="68" bestFit="1" customWidth="1"/>
    <col min="2057" max="2304" width="9.140625" style="68"/>
    <col min="2305" max="2305" width="6.5703125" style="68" customWidth="1"/>
    <col min="2306" max="2306" width="0" style="68" hidden="1" customWidth="1"/>
    <col min="2307" max="2307" width="63.140625" style="68" customWidth="1"/>
    <col min="2308" max="2308" width="21.140625" style="68" customWidth="1"/>
    <col min="2309" max="2311" width="9.140625" style="68"/>
    <col min="2312" max="2312" width="9.85546875" style="68" bestFit="1" customWidth="1"/>
    <col min="2313" max="2560" width="9.140625" style="68"/>
    <col min="2561" max="2561" width="6.5703125" style="68" customWidth="1"/>
    <col min="2562" max="2562" width="0" style="68" hidden="1" customWidth="1"/>
    <col min="2563" max="2563" width="63.140625" style="68" customWidth="1"/>
    <col min="2564" max="2564" width="21.140625" style="68" customWidth="1"/>
    <col min="2565" max="2567" width="9.140625" style="68"/>
    <col min="2568" max="2568" width="9.85546875" style="68" bestFit="1" customWidth="1"/>
    <col min="2569" max="2816" width="9.140625" style="68"/>
    <col min="2817" max="2817" width="6.5703125" style="68" customWidth="1"/>
    <col min="2818" max="2818" width="0" style="68" hidden="1" customWidth="1"/>
    <col min="2819" max="2819" width="63.140625" style="68" customWidth="1"/>
    <col min="2820" max="2820" width="21.140625" style="68" customWidth="1"/>
    <col min="2821" max="2823" width="9.140625" style="68"/>
    <col min="2824" max="2824" width="9.85546875" style="68" bestFit="1" customWidth="1"/>
    <col min="2825" max="3072" width="9.140625" style="68"/>
    <col min="3073" max="3073" width="6.5703125" style="68" customWidth="1"/>
    <col min="3074" max="3074" width="0" style="68" hidden="1" customWidth="1"/>
    <col min="3075" max="3075" width="63.140625" style="68" customWidth="1"/>
    <col min="3076" max="3076" width="21.140625" style="68" customWidth="1"/>
    <col min="3077" max="3079" width="9.140625" style="68"/>
    <col min="3080" max="3080" width="9.85546875" style="68" bestFit="1" customWidth="1"/>
    <col min="3081" max="3328" width="9.140625" style="68"/>
    <col min="3329" max="3329" width="6.5703125" style="68" customWidth="1"/>
    <col min="3330" max="3330" width="0" style="68" hidden="1" customWidth="1"/>
    <col min="3331" max="3331" width="63.140625" style="68" customWidth="1"/>
    <col min="3332" max="3332" width="21.140625" style="68" customWidth="1"/>
    <col min="3333" max="3335" width="9.140625" style="68"/>
    <col min="3336" max="3336" width="9.85546875" style="68" bestFit="1" customWidth="1"/>
    <col min="3337" max="3584" width="9.140625" style="68"/>
    <col min="3585" max="3585" width="6.5703125" style="68" customWidth="1"/>
    <col min="3586" max="3586" width="0" style="68" hidden="1" customWidth="1"/>
    <col min="3587" max="3587" width="63.140625" style="68" customWidth="1"/>
    <col min="3588" max="3588" width="21.140625" style="68" customWidth="1"/>
    <col min="3589" max="3591" width="9.140625" style="68"/>
    <col min="3592" max="3592" width="9.85546875" style="68" bestFit="1" customWidth="1"/>
    <col min="3593" max="3840" width="9.140625" style="68"/>
    <col min="3841" max="3841" width="6.5703125" style="68" customWidth="1"/>
    <col min="3842" max="3842" width="0" style="68" hidden="1" customWidth="1"/>
    <col min="3843" max="3843" width="63.140625" style="68" customWidth="1"/>
    <col min="3844" max="3844" width="21.140625" style="68" customWidth="1"/>
    <col min="3845" max="3847" width="9.140625" style="68"/>
    <col min="3848" max="3848" width="9.85546875" style="68" bestFit="1" customWidth="1"/>
    <col min="3849" max="4096" width="9.140625" style="68"/>
    <col min="4097" max="4097" width="6.5703125" style="68" customWidth="1"/>
    <col min="4098" max="4098" width="0" style="68" hidden="1" customWidth="1"/>
    <col min="4099" max="4099" width="63.140625" style="68" customWidth="1"/>
    <col min="4100" max="4100" width="21.140625" style="68" customWidth="1"/>
    <col min="4101" max="4103" width="9.140625" style="68"/>
    <col min="4104" max="4104" width="9.85546875" style="68" bestFit="1" customWidth="1"/>
    <col min="4105" max="4352" width="9.140625" style="68"/>
    <col min="4353" max="4353" width="6.5703125" style="68" customWidth="1"/>
    <col min="4354" max="4354" width="0" style="68" hidden="1" customWidth="1"/>
    <col min="4355" max="4355" width="63.140625" style="68" customWidth="1"/>
    <col min="4356" max="4356" width="21.140625" style="68" customWidth="1"/>
    <col min="4357" max="4359" width="9.140625" style="68"/>
    <col min="4360" max="4360" width="9.85546875" style="68" bestFit="1" customWidth="1"/>
    <col min="4361" max="4608" width="9.140625" style="68"/>
    <col min="4609" max="4609" width="6.5703125" style="68" customWidth="1"/>
    <col min="4610" max="4610" width="0" style="68" hidden="1" customWidth="1"/>
    <col min="4611" max="4611" width="63.140625" style="68" customWidth="1"/>
    <col min="4612" max="4612" width="21.140625" style="68" customWidth="1"/>
    <col min="4613" max="4615" width="9.140625" style="68"/>
    <col min="4616" max="4616" width="9.85546875" style="68" bestFit="1" customWidth="1"/>
    <col min="4617" max="4864" width="9.140625" style="68"/>
    <col min="4865" max="4865" width="6.5703125" style="68" customWidth="1"/>
    <col min="4866" max="4866" width="0" style="68" hidden="1" customWidth="1"/>
    <col min="4867" max="4867" width="63.140625" style="68" customWidth="1"/>
    <col min="4868" max="4868" width="21.140625" style="68" customWidth="1"/>
    <col min="4869" max="4871" width="9.140625" style="68"/>
    <col min="4872" max="4872" width="9.85546875" style="68" bestFit="1" customWidth="1"/>
    <col min="4873" max="5120" width="9.140625" style="68"/>
    <col min="5121" max="5121" width="6.5703125" style="68" customWidth="1"/>
    <col min="5122" max="5122" width="0" style="68" hidden="1" customWidth="1"/>
    <col min="5123" max="5123" width="63.140625" style="68" customWidth="1"/>
    <col min="5124" max="5124" width="21.140625" style="68" customWidth="1"/>
    <col min="5125" max="5127" width="9.140625" style="68"/>
    <col min="5128" max="5128" width="9.85546875" style="68" bestFit="1" customWidth="1"/>
    <col min="5129" max="5376" width="9.140625" style="68"/>
    <col min="5377" max="5377" width="6.5703125" style="68" customWidth="1"/>
    <col min="5378" max="5378" width="0" style="68" hidden="1" customWidth="1"/>
    <col min="5379" max="5379" width="63.140625" style="68" customWidth="1"/>
    <col min="5380" max="5380" width="21.140625" style="68" customWidth="1"/>
    <col min="5381" max="5383" width="9.140625" style="68"/>
    <col min="5384" max="5384" width="9.85546875" style="68" bestFit="1" customWidth="1"/>
    <col min="5385" max="5632" width="9.140625" style="68"/>
    <col min="5633" max="5633" width="6.5703125" style="68" customWidth="1"/>
    <col min="5634" max="5634" width="0" style="68" hidden="1" customWidth="1"/>
    <col min="5635" max="5635" width="63.140625" style="68" customWidth="1"/>
    <col min="5636" max="5636" width="21.140625" style="68" customWidth="1"/>
    <col min="5637" max="5639" width="9.140625" style="68"/>
    <col min="5640" max="5640" width="9.85546875" style="68" bestFit="1" customWidth="1"/>
    <col min="5641" max="5888" width="9.140625" style="68"/>
    <col min="5889" max="5889" width="6.5703125" style="68" customWidth="1"/>
    <col min="5890" max="5890" width="0" style="68" hidden="1" customWidth="1"/>
    <col min="5891" max="5891" width="63.140625" style="68" customWidth="1"/>
    <col min="5892" max="5892" width="21.140625" style="68" customWidth="1"/>
    <col min="5893" max="5895" width="9.140625" style="68"/>
    <col min="5896" max="5896" width="9.85546875" style="68" bestFit="1" customWidth="1"/>
    <col min="5897" max="6144" width="9.140625" style="68"/>
    <col min="6145" max="6145" width="6.5703125" style="68" customWidth="1"/>
    <col min="6146" max="6146" width="0" style="68" hidden="1" customWidth="1"/>
    <col min="6147" max="6147" width="63.140625" style="68" customWidth="1"/>
    <col min="6148" max="6148" width="21.140625" style="68" customWidth="1"/>
    <col min="6149" max="6151" width="9.140625" style="68"/>
    <col min="6152" max="6152" width="9.85546875" style="68" bestFit="1" customWidth="1"/>
    <col min="6153" max="6400" width="9.140625" style="68"/>
    <col min="6401" max="6401" width="6.5703125" style="68" customWidth="1"/>
    <col min="6402" max="6402" width="0" style="68" hidden="1" customWidth="1"/>
    <col min="6403" max="6403" width="63.140625" style="68" customWidth="1"/>
    <col min="6404" max="6404" width="21.140625" style="68" customWidth="1"/>
    <col min="6405" max="6407" width="9.140625" style="68"/>
    <col min="6408" max="6408" width="9.85546875" style="68" bestFit="1" customWidth="1"/>
    <col min="6409" max="6656" width="9.140625" style="68"/>
    <col min="6657" max="6657" width="6.5703125" style="68" customWidth="1"/>
    <col min="6658" max="6658" width="0" style="68" hidden="1" customWidth="1"/>
    <col min="6659" max="6659" width="63.140625" style="68" customWidth="1"/>
    <col min="6660" max="6660" width="21.140625" style="68" customWidth="1"/>
    <col min="6661" max="6663" width="9.140625" style="68"/>
    <col min="6664" max="6664" width="9.85546875" style="68" bestFit="1" customWidth="1"/>
    <col min="6665" max="6912" width="9.140625" style="68"/>
    <col min="6913" max="6913" width="6.5703125" style="68" customWidth="1"/>
    <col min="6914" max="6914" width="0" style="68" hidden="1" customWidth="1"/>
    <col min="6915" max="6915" width="63.140625" style="68" customWidth="1"/>
    <col min="6916" max="6916" width="21.140625" style="68" customWidth="1"/>
    <col min="6917" max="6919" width="9.140625" style="68"/>
    <col min="6920" max="6920" width="9.85546875" style="68" bestFit="1" customWidth="1"/>
    <col min="6921" max="7168" width="9.140625" style="68"/>
    <col min="7169" max="7169" width="6.5703125" style="68" customWidth="1"/>
    <col min="7170" max="7170" width="0" style="68" hidden="1" customWidth="1"/>
    <col min="7171" max="7171" width="63.140625" style="68" customWidth="1"/>
    <col min="7172" max="7172" width="21.140625" style="68" customWidth="1"/>
    <col min="7173" max="7175" width="9.140625" style="68"/>
    <col min="7176" max="7176" width="9.85546875" style="68" bestFit="1" customWidth="1"/>
    <col min="7177" max="7424" width="9.140625" style="68"/>
    <col min="7425" max="7425" width="6.5703125" style="68" customWidth="1"/>
    <col min="7426" max="7426" width="0" style="68" hidden="1" customWidth="1"/>
    <col min="7427" max="7427" width="63.140625" style="68" customWidth="1"/>
    <col min="7428" max="7428" width="21.140625" style="68" customWidth="1"/>
    <col min="7429" max="7431" width="9.140625" style="68"/>
    <col min="7432" max="7432" width="9.85546875" style="68" bestFit="1" customWidth="1"/>
    <col min="7433" max="7680" width="9.140625" style="68"/>
    <col min="7681" max="7681" width="6.5703125" style="68" customWidth="1"/>
    <col min="7682" max="7682" width="0" style="68" hidden="1" customWidth="1"/>
    <col min="7683" max="7683" width="63.140625" style="68" customWidth="1"/>
    <col min="7684" max="7684" width="21.140625" style="68" customWidth="1"/>
    <col min="7685" max="7687" width="9.140625" style="68"/>
    <col min="7688" max="7688" width="9.85546875" style="68" bestFit="1" customWidth="1"/>
    <col min="7689" max="7936" width="9.140625" style="68"/>
    <col min="7937" max="7937" width="6.5703125" style="68" customWidth="1"/>
    <col min="7938" max="7938" width="0" style="68" hidden="1" customWidth="1"/>
    <col min="7939" max="7939" width="63.140625" style="68" customWidth="1"/>
    <col min="7940" max="7940" width="21.140625" style="68" customWidth="1"/>
    <col min="7941" max="7943" width="9.140625" style="68"/>
    <col min="7944" max="7944" width="9.85546875" style="68" bestFit="1" customWidth="1"/>
    <col min="7945" max="8192" width="9.140625" style="68"/>
    <col min="8193" max="8193" width="6.5703125" style="68" customWidth="1"/>
    <col min="8194" max="8194" width="0" style="68" hidden="1" customWidth="1"/>
    <col min="8195" max="8195" width="63.140625" style="68" customWidth="1"/>
    <col min="8196" max="8196" width="21.140625" style="68" customWidth="1"/>
    <col min="8197" max="8199" width="9.140625" style="68"/>
    <col min="8200" max="8200" width="9.85546875" style="68" bestFit="1" customWidth="1"/>
    <col min="8201" max="8448" width="9.140625" style="68"/>
    <col min="8449" max="8449" width="6.5703125" style="68" customWidth="1"/>
    <col min="8450" max="8450" width="0" style="68" hidden="1" customWidth="1"/>
    <col min="8451" max="8451" width="63.140625" style="68" customWidth="1"/>
    <col min="8452" max="8452" width="21.140625" style="68" customWidth="1"/>
    <col min="8453" max="8455" width="9.140625" style="68"/>
    <col min="8456" max="8456" width="9.85546875" style="68" bestFit="1" customWidth="1"/>
    <col min="8457" max="8704" width="9.140625" style="68"/>
    <col min="8705" max="8705" width="6.5703125" style="68" customWidth="1"/>
    <col min="8706" max="8706" width="0" style="68" hidden="1" customWidth="1"/>
    <col min="8707" max="8707" width="63.140625" style="68" customWidth="1"/>
    <col min="8708" max="8708" width="21.140625" style="68" customWidth="1"/>
    <col min="8709" max="8711" width="9.140625" style="68"/>
    <col min="8712" max="8712" width="9.85546875" style="68" bestFit="1" customWidth="1"/>
    <col min="8713" max="8960" width="9.140625" style="68"/>
    <col min="8961" max="8961" width="6.5703125" style="68" customWidth="1"/>
    <col min="8962" max="8962" width="0" style="68" hidden="1" customWidth="1"/>
    <col min="8963" max="8963" width="63.140625" style="68" customWidth="1"/>
    <col min="8964" max="8964" width="21.140625" style="68" customWidth="1"/>
    <col min="8965" max="8967" width="9.140625" style="68"/>
    <col min="8968" max="8968" width="9.85546875" style="68" bestFit="1" customWidth="1"/>
    <col min="8969" max="9216" width="9.140625" style="68"/>
    <col min="9217" max="9217" width="6.5703125" style="68" customWidth="1"/>
    <col min="9218" max="9218" width="0" style="68" hidden="1" customWidth="1"/>
    <col min="9219" max="9219" width="63.140625" style="68" customWidth="1"/>
    <col min="9220" max="9220" width="21.140625" style="68" customWidth="1"/>
    <col min="9221" max="9223" width="9.140625" style="68"/>
    <col min="9224" max="9224" width="9.85546875" style="68" bestFit="1" customWidth="1"/>
    <col min="9225" max="9472" width="9.140625" style="68"/>
    <col min="9473" max="9473" width="6.5703125" style="68" customWidth="1"/>
    <col min="9474" max="9474" width="0" style="68" hidden="1" customWidth="1"/>
    <col min="9475" max="9475" width="63.140625" style="68" customWidth="1"/>
    <col min="9476" max="9476" width="21.140625" style="68" customWidth="1"/>
    <col min="9477" max="9479" width="9.140625" style="68"/>
    <col min="9480" max="9480" width="9.85546875" style="68" bestFit="1" customWidth="1"/>
    <col min="9481" max="9728" width="9.140625" style="68"/>
    <col min="9729" max="9729" width="6.5703125" style="68" customWidth="1"/>
    <col min="9730" max="9730" width="0" style="68" hidden="1" customWidth="1"/>
    <col min="9731" max="9731" width="63.140625" style="68" customWidth="1"/>
    <col min="9732" max="9732" width="21.140625" style="68" customWidth="1"/>
    <col min="9733" max="9735" width="9.140625" style="68"/>
    <col min="9736" max="9736" width="9.85546875" style="68" bestFit="1" customWidth="1"/>
    <col min="9737" max="9984" width="9.140625" style="68"/>
    <col min="9985" max="9985" width="6.5703125" style="68" customWidth="1"/>
    <col min="9986" max="9986" width="0" style="68" hidden="1" customWidth="1"/>
    <col min="9987" max="9987" width="63.140625" style="68" customWidth="1"/>
    <col min="9988" max="9988" width="21.140625" style="68" customWidth="1"/>
    <col min="9989" max="9991" width="9.140625" style="68"/>
    <col min="9992" max="9992" width="9.85546875" style="68" bestFit="1" customWidth="1"/>
    <col min="9993" max="10240" width="9.140625" style="68"/>
    <col min="10241" max="10241" width="6.5703125" style="68" customWidth="1"/>
    <col min="10242" max="10242" width="0" style="68" hidden="1" customWidth="1"/>
    <col min="10243" max="10243" width="63.140625" style="68" customWidth="1"/>
    <col min="10244" max="10244" width="21.140625" style="68" customWidth="1"/>
    <col min="10245" max="10247" width="9.140625" style="68"/>
    <col min="10248" max="10248" width="9.85546875" style="68" bestFit="1" customWidth="1"/>
    <col min="10249" max="10496" width="9.140625" style="68"/>
    <col min="10497" max="10497" width="6.5703125" style="68" customWidth="1"/>
    <col min="10498" max="10498" width="0" style="68" hidden="1" customWidth="1"/>
    <col min="10499" max="10499" width="63.140625" style="68" customWidth="1"/>
    <col min="10500" max="10500" width="21.140625" style="68" customWidth="1"/>
    <col min="10501" max="10503" width="9.140625" style="68"/>
    <col min="10504" max="10504" width="9.85546875" style="68" bestFit="1" customWidth="1"/>
    <col min="10505" max="10752" width="9.140625" style="68"/>
    <col min="10753" max="10753" width="6.5703125" style="68" customWidth="1"/>
    <col min="10754" max="10754" width="0" style="68" hidden="1" customWidth="1"/>
    <col min="10755" max="10755" width="63.140625" style="68" customWidth="1"/>
    <col min="10756" max="10756" width="21.140625" style="68" customWidth="1"/>
    <col min="10757" max="10759" width="9.140625" style="68"/>
    <col min="10760" max="10760" width="9.85546875" style="68" bestFit="1" customWidth="1"/>
    <col min="10761" max="11008" width="9.140625" style="68"/>
    <col min="11009" max="11009" width="6.5703125" style="68" customWidth="1"/>
    <col min="11010" max="11010" width="0" style="68" hidden="1" customWidth="1"/>
    <col min="11011" max="11011" width="63.140625" style="68" customWidth="1"/>
    <col min="11012" max="11012" width="21.140625" style="68" customWidth="1"/>
    <col min="11013" max="11015" width="9.140625" style="68"/>
    <col min="11016" max="11016" width="9.85546875" style="68" bestFit="1" customWidth="1"/>
    <col min="11017" max="11264" width="9.140625" style="68"/>
    <col min="11265" max="11265" width="6.5703125" style="68" customWidth="1"/>
    <col min="11266" max="11266" width="0" style="68" hidden="1" customWidth="1"/>
    <col min="11267" max="11267" width="63.140625" style="68" customWidth="1"/>
    <col min="11268" max="11268" width="21.140625" style="68" customWidth="1"/>
    <col min="11269" max="11271" width="9.140625" style="68"/>
    <col min="11272" max="11272" width="9.85546875" style="68" bestFit="1" customWidth="1"/>
    <col min="11273" max="11520" width="9.140625" style="68"/>
    <col min="11521" max="11521" width="6.5703125" style="68" customWidth="1"/>
    <col min="11522" max="11522" width="0" style="68" hidden="1" customWidth="1"/>
    <col min="11523" max="11523" width="63.140625" style="68" customWidth="1"/>
    <col min="11524" max="11524" width="21.140625" style="68" customWidth="1"/>
    <col min="11525" max="11527" width="9.140625" style="68"/>
    <col min="11528" max="11528" width="9.85546875" style="68" bestFit="1" customWidth="1"/>
    <col min="11529" max="11776" width="9.140625" style="68"/>
    <col min="11777" max="11777" width="6.5703125" style="68" customWidth="1"/>
    <col min="11778" max="11778" width="0" style="68" hidden="1" customWidth="1"/>
    <col min="11779" max="11779" width="63.140625" style="68" customWidth="1"/>
    <col min="11780" max="11780" width="21.140625" style="68" customWidth="1"/>
    <col min="11781" max="11783" width="9.140625" style="68"/>
    <col min="11784" max="11784" width="9.85546875" style="68" bestFit="1" customWidth="1"/>
    <col min="11785" max="12032" width="9.140625" style="68"/>
    <col min="12033" max="12033" width="6.5703125" style="68" customWidth="1"/>
    <col min="12034" max="12034" width="0" style="68" hidden="1" customWidth="1"/>
    <col min="12035" max="12035" width="63.140625" style="68" customWidth="1"/>
    <col min="12036" max="12036" width="21.140625" style="68" customWidth="1"/>
    <col min="12037" max="12039" width="9.140625" style="68"/>
    <col min="12040" max="12040" width="9.85546875" style="68" bestFit="1" customWidth="1"/>
    <col min="12041" max="12288" width="9.140625" style="68"/>
    <col min="12289" max="12289" width="6.5703125" style="68" customWidth="1"/>
    <col min="12290" max="12290" width="0" style="68" hidden="1" customWidth="1"/>
    <col min="12291" max="12291" width="63.140625" style="68" customWidth="1"/>
    <col min="12292" max="12292" width="21.140625" style="68" customWidth="1"/>
    <col min="12293" max="12295" width="9.140625" style="68"/>
    <col min="12296" max="12296" width="9.85546875" style="68" bestFit="1" customWidth="1"/>
    <col min="12297" max="12544" width="9.140625" style="68"/>
    <col min="12545" max="12545" width="6.5703125" style="68" customWidth="1"/>
    <col min="12546" max="12546" width="0" style="68" hidden="1" customWidth="1"/>
    <col min="12547" max="12547" width="63.140625" style="68" customWidth="1"/>
    <col min="12548" max="12548" width="21.140625" style="68" customWidth="1"/>
    <col min="12549" max="12551" width="9.140625" style="68"/>
    <col min="12552" max="12552" width="9.85546875" style="68" bestFit="1" customWidth="1"/>
    <col min="12553" max="12800" width="9.140625" style="68"/>
    <col min="12801" max="12801" width="6.5703125" style="68" customWidth="1"/>
    <col min="12802" max="12802" width="0" style="68" hidden="1" customWidth="1"/>
    <col min="12803" max="12803" width="63.140625" style="68" customWidth="1"/>
    <col min="12804" max="12804" width="21.140625" style="68" customWidth="1"/>
    <col min="12805" max="12807" width="9.140625" style="68"/>
    <col min="12808" max="12808" width="9.85546875" style="68" bestFit="1" customWidth="1"/>
    <col min="12809" max="13056" width="9.140625" style="68"/>
    <col min="13057" max="13057" width="6.5703125" style="68" customWidth="1"/>
    <col min="13058" max="13058" width="0" style="68" hidden="1" customWidth="1"/>
    <col min="13059" max="13059" width="63.140625" style="68" customWidth="1"/>
    <col min="13060" max="13060" width="21.140625" style="68" customWidth="1"/>
    <col min="13061" max="13063" width="9.140625" style="68"/>
    <col min="13064" max="13064" width="9.85546875" style="68" bestFit="1" customWidth="1"/>
    <col min="13065" max="13312" width="9.140625" style="68"/>
    <col min="13313" max="13313" width="6.5703125" style="68" customWidth="1"/>
    <col min="13314" max="13314" width="0" style="68" hidden="1" customWidth="1"/>
    <col min="13315" max="13315" width="63.140625" style="68" customWidth="1"/>
    <col min="13316" max="13316" width="21.140625" style="68" customWidth="1"/>
    <col min="13317" max="13319" width="9.140625" style="68"/>
    <col min="13320" max="13320" width="9.85546875" style="68" bestFit="1" customWidth="1"/>
    <col min="13321" max="13568" width="9.140625" style="68"/>
    <col min="13569" max="13569" width="6.5703125" style="68" customWidth="1"/>
    <col min="13570" max="13570" width="0" style="68" hidden="1" customWidth="1"/>
    <col min="13571" max="13571" width="63.140625" style="68" customWidth="1"/>
    <col min="13572" max="13572" width="21.140625" style="68" customWidth="1"/>
    <col min="13573" max="13575" width="9.140625" style="68"/>
    <col min="13576" max="13576" width="9.85546875" style="68" bestFit="1" customWidth="1"/>
    <col min="13577" max="13824" width="9.140625" style="68"/>
    <col min="13825" max="13825" width="6.5703125" style="68" customWidth="1"/>
    <col min="13826" max="13826" width="0" style="68" hidden="1" customWidth="1"/>
    <col min="13827" max="13827" width="63.140625" style="68" customWidth="1"/>
    <col min="13828" max="13828" width="21.140625" style="68" customWidth="1"/>
    <col min="13829" max="13831" width="9.140625" style="68"/>
    <col min="13832" max="13832" width="9.85546875" style="68" bestFit="1" customWidth="1"/>
    <col min="13833" max="14080" width="9.140625" style="68"/>
    <col min="14081" max="14081" width="6.5703125" style="68" customWidth="1"/>
    <col min="14082" max="14082" width="0" style="68" hidden="1" customWidth="1"/>
    <col min="14083" max="14083" width="63.140625" style="68" customWidth="1"/>
    <col min="14084" max="14084" width="21.140625" style="68" customWidth="1"/>
    <col min="14085" max="14087" width="9.140625" style="68"/>
    <col min="14088" max="14088" width="9.85546875" style="68" bestFit="1" customWidth="1"/>
    <col min="14089" max="14336" width="9.140625" style="68"/>
    <col min="14337" max="14337" width="6.5703125" style="68" customWidth="1"/>
    <col min="14338" max="14338" width="0" style="68" hidden="1" customWidth="1"/>
    <col min="14339" max="14339" width="63.140625" style="68" customWidth="1"/>
    <col min="14340" max="14340" width="21.140625" style="68" customWidth="1"/>
    <col min="14341" max="14343" width="9.140625" style="68"/>
    <col min="14344" max="14344" width="9.85546875" style="68" bestFit="1" customWidth="1"/>
    <col min="14345" max="14592" width="9.140625" style="68"/>
    <col min="14593" max="14593" width="6.5703125" style="68" customWidth="1"/>
    <col min="14594" max="14594" width="0" style="68" hidden="1" customWidth="1"/>
    <col min="14595" max="14595" width="63.140625" style="68" customWidth="1"/>
    <col min="14596" max="14596" width="21.140625" style="68" customWidth="1"/>
    <col min="14597" max="14599" width="9.140625" style="68"/>
    <col min="14600" max="14600" width="9.85546875" style="68" bestFit="1" customWidth="1"/>
    <col min="14601" max="14848" width="9.140625" style="68"/>
    <col min="14849" max="14849" width="6.5703125" style="68" customWidth="1"/>
    <col min="14850" max="14850" width="0" style="68" hidden="1" customWidth="1"/>
    <col min="14851" max="14851" width="63.140625" style="68" customWidth="1"/>
    <col min="14852" max="14852" width="21.140625" style="68" customWidth="1"/>
    <col min="14853" max="14855" width="9.140625" style="68"/>
    <col min="14856" max="14856" width="9.85546875" style="68" bestFit="1" customWidth="1"/>
    <col min="14857" max="15104" width="9.140625" style="68"/>
    <col min="15105" max="15105" width="6.5703125" style="68" customWidth="1"/>
    <col min="15106" max="15106" width="0" style="68" hidden="1" customWidth="1"/>
    <col min="15107" max="15107" width="63.140625" style="68" customWidth="1"/>
    <col min="15108" max="15108" width="21.140625" style="68" customWidth="1"/>
    <col min="15109" max="15111" width="9.140625" style="68"/>
    <col min="15112" max="15112" width="9.85546875" style="68" bestFit="1" customWidth="1"/>
    <col min="15113" max="15360" width="9.140625" style="68"/>
    <col min="15361" max="15361" width="6.5703125" style="68" customWidth="1"/>
    <col min="15362" max="15362" width="0" style="68" hidden="1" customWidth="1"/>
    <col min="15363" max="15363" width="63.140625" style="68" customWidth="1"/>
    <col min="15364" max="15364" width="21.140625" style="68" customWidth="1"/>
    <col min="15365" max="15367" width="9.140625" style="68"/>
    <col min="15368" max="15368" width="9.85546875" style="68" bestFit="1" customWidth="1"/>
    <col min="15369" max="15616" width="9.140625" style="68"/>
    <col min="15617" max="15617" width="6.5703125" style="68" customWidth="1"/>
    <col min="15618" max="15618" width="0" style="68" hidden="1" customWidth="1"/>
    <col min="15619" max="15619" width="63.140625" style="68" customWidth="1"/>
    <col min="15620" max="15620" width="21.140625" style="68" customWidth="1"/>
    <col min="15621" max="15623" width="9.140625" style="68"/>
    <col min="15624" max="15624" width="9.85546875" style="68" bestFit="1" customWidth="1"/>
    <col min="15625" max="15872" width="9.140625" style="68"/>
    <col min="15873" max="15873" width="6.5703125" style="68" customWidth="1"/>
    <col min="15874" max="15874" width="0" style="68" hidden="1" customWidth="1"/>
    <col min="15875" max="15875" width="63.140625" style="68" customWidth="1"/>
    <col min="15876" max="15876" width="21.140625" style="68" customWidth="1"/>
    <col min="15877" max="15879" width="9.140625" style="68"/>
    <col min="15880" max="15880" width="9.85546875" style="68" bestFit="1" customWidth="1"/>
    <col min="15881" max="16128" width="9.140625" style="68"/>
    <col min="16129" max="16129" width="6.5703125" style="68" customWidth="1"/>
    <col min="16130" max="16130" width="0" style="68" hidden="1" customWidth="1"/>
    <col min="16131" max="16131" width="63.140625" style="68" customWidth="1"/>
    <col min="16132" max="16132" width="21.140625" style="68" customWidth="1"/>
    <col min="16133" max="16135" width="9.140625" style="68"/>
    <col min="16136" max="16136" width="9.85546875" style="68" bestFit="1" customWidth="1"/>
    <col min="16137" max="16384" width="9.140625" style="68"/>
  </cols>
  <sheetData>
    <row r="1" spans="1:9" s="262" customFormat="1" ht="18" customHeight="1">
      <c r="C1" s="262" t="s">
        <v>331</v>
      </c>
      <c r="H1" s="144"/>
      <c r="I1" s="142"/>
    </row>
    <row r="2" spans="1:9" s="262" customFormat="1" ht="18" customHeight="1">
      <c r="C2" s="262" t="s">
        <v>332</v>
      </c>
      <c r="H2" s="144"/>
      <c r="I2" s="142"/>
    </row>
    <row r="3" spans="1:9" s="262" customFormat="1" ht="18" customHeight="1">
      <c r="C3" s="262">
        <v>2012</v>
      </c>
      <c r="H3" s="144"/>
      <c r="I3" s="142"/>
    </row>
    <row r="4" spans="1:9" s="262" customFormat="1" ht="18" customHeight="1">
      <c r="H4" s="144"/>
      <c r="I4" s="142"/>
    </row>
    <row r="5" spans="1:9" s="262" customFormat="1" ht="18" customHeight="1">
      <c r="H5" s="144"/>
      <c r="I5" s="142"/>
    </row>
    <row r="6" spans="1:9" ht="18" customHeight="1">
      <c r="A6" s="288">
        <v>1</v>
      </c>
      <c r="C6" s="68" t="s">
        <v>456</v>
      </c>
      <c r="D6" s="289">
        <v>4063730</v>
      </c>
    </row>
    <row r="7" spans="1:9" ht="18" customHeight="1">
      <c r="A7" s="288">
        <v>2</v>
      </c>
      <c r="C7" s="68" t="s">
        <v>457</v>
      </c>
      <c r="D7" s="289">
        <f>+[1]Foglio1!T146+[1]Foglio1!T201+[1]Foglio1!T317+[1]Foglio1!T399+[1]Foglio1!T516+[1]Foglio1!T630+[1]Foglio1!T833+[1]Foglio1!T932+[1]Foglio1!T1165+[1]Foglio1!T1294</f>
        <v>1599998</v>
      </c>
    </row>
    <row r="8" spans="1:9" ht="18" customHeight="1">
      <c r="A8" s="288">
        <v>3</v>
      </c>
      <c r="C8" s="68" t="s">
        <v>458</v>
      </c>
      <c r="D8" s="289">
        <f>+[1]Foglio1!T48+[1]Foglio1!T127+[1]Foglio1!T247+[1]Foglio1!T349+[1]Foglio1!T457+[1]Foglio1!T572+[1]Foglio1!T667+[1]Foglio1!T771+[1]Foglio1!T869+[1]Foglio1!T985+[1]Foglio1!T1112+[1]Foglio1!T1268</f>
        <v>3413059.6</v>
      </c>
    </row>
    <row r="9" spans="1:9" ht="18" customHeight="1">
      <c r="A9" s="288">
        <v>4</v>
      </c>
      <c r="C9" s="68" t="s">
        <v>459</v>
      </c>
      <c r="D9" s="289">
        <f>354507+6075+8457+15195+8417+15417+[1]Foglio1!T430+[1]Foglio1!T477+[1]Foglio1!T532+[1]Foglio1!T590+[1]Foglio1!T638+[1]Foglio1!T1093+[1]Foglio1!T1098+[1]Foglio1!T1107+9618</f>
        <v>487244.87</v>
      </c>
    </row>
    <row r="10" spans="1:9" ht="18" customHeight="1">
      <c r="A10" s="288">
        <v>5</v>
      </c>
      <c r="C10" s="68" t="s">
        <v>460</v>
      </c>
      <c r="D10" s="289">
        <v>87747</v>
      </c>
    </row>
    <row r="11" spans="1:9" ht="18" customHeight="1">
      <c r="A11" s="288">
        <v>6</v>
      </c>
      <c r="C11" s="68" t="s">
        <v>461</v>
      </c>
      <c r="D11" s="289">
        <v>42000</v>
      </c>
    </row>
    <row r="12" spans="1:9" ht="18" customHeight="1">
      <c r="A12" s="288">
        <v>7</v>
      </c>
      <c r="C12" s="68" t="s">
        <v>462</v>
      </c>
      <c r="D12" s="289">
        <v>43781</v>
      </c>
    </row>
    <row r="13" spans="1:9" ht="18" customHeight="1">
      <c r="A13" s="288">
        <v>8</v>
      </c>
      <c r="C13" s="68" t="s">
        <v>463</v>
      </c>
      <c r="D13" s="289">
        <v>60000</v>
      </c>
    </row>
    <row r="14" spans="1:9" ht="18" customHeight="1">
      <c r="A14" s="288">
        <v>9</v>
      </c>
      <c r="C14" s="68" t="s">
        <v>464</v>
      </c>
      <c r="D14" s="289">
        <f>19549+[1]Foglio1!T562+[1]Foglio1!T567</f>
        <v>106034</v>
      </c>
    </row>
    <row r="15" spans="1:9" ht="18" customHeight="1">
      <c r="A15" s="288">
        <v>10</v>
      </c>
      <c r="C15" s="68" t="s">
        <v>465</v>
      </c>
      <c r="D15" s="289">
        <f>210000+50000</f>
        <v>260000</v>
      </c>
    </row>
    <row r="16" spans="1:9" ht="18" customHeight="1">
      <c r="A16" s="288">
        <v>11</v>
      </c>
      <c r="C16" s="68" t="s">
        <v>466</v>
      </c>
      <c r="D16" s="289">
        <f>+[1]Foglio1!T412+[1]Foglio1!T413</f>
        <v>47842</v>
      </c>
    </row>
    <row r="17" spans="1:4" ht="18" customHeight="1">
      <c r="A17" s="288">
        <v>12</v>
      </c>
      <c r="C17" s="68" t="s">
        <v>467</v>
      </c>
      <c r="D17" s="289">
        <f>+[1]Foglio1!T428+[1]Foglio1!T429+[1]Foglio1!T650+[1]Foglio1!T651+[1]Foglio1!T652+[1]Foglio1!T653+[1]Foglio1!T1233+[1]Foglio1!T674+[1]Foglio1!T739+[1]Foglio1!T918+[1]Foglio1!T920+[1]Foglio1!T1041+[1]Foglio1!T1149</f>
        <v>762848</v>
      </c>
    </row>
    <row r="18" spans="1:4" ht="18" customHeight="1">
      <c r="A18" s="288">
        <v>13</v>
      </c>
      <c r="C18" s="68" t="str">
        <f>+[1]Foglio1!E548</f>
        <v>Paisje me cetifikate  pronesie mjeti</v>
      </c>
      <c r="D18" s="289">
        <f>+[1]Foglio1!T548+[1]Foglio1!T549+[1]Foglio1!T551+[1]Foglio1!T552+[1]Foglio1!T70+[1]Foglio1!T1058+[1]Foglio1!T1059+[1]Foglio1!T1060+[1]Foglio1!T1236+[1]Foglio1!T1255+[1]Foglio1!T1256</f>
        <v>126135</v>
      </c>
    </row>
    <row r="19" spans="1:4" ht="18" customHeight="1">
      <c r="A19" s="288">
        <v>14</v>
      </c>
      <c r="C19" s="68" t="s">
        <v>468</v>
      </c>
      <c r="D19" s="289">
        <f>+[1]Foglio1!T777+[1]Foglio1!T778+[1]Foglio1!T786+[1]Foglio1!T787+[1]Foglio1!T790+[1]Foglio1!T876+[1]Foglio1!T877+[1]Foglio1!T1005</f>
        <v>21882</v>
      </c>
    </row>
    <row r="20" spans="1:4" ht="18" customHeight="1">
      <c r="A20" s="288">
        <v>15</v>
      </c>
      <c r="C20" s="68" t="s">
        <v>469</v>
      </c>
      <c r="D20" s="289">
        <f>+[1]Foglio1!T964+[1]Foglio1!T1347</f>
        <v>222721</v>
      </c>
    </row>
    <row r="21" spans="1:4" ht="18" customHeight="1">
      <c r="A21" s="288">
        <v>16</v>
      </c>
      <c r="C21" s="68" t="s">
        <v>470</v>
      </c>
      <c r="D21" s="289">
        <f>+[1]Foglio1!T1006+[1]Foglio1!T1140+[1]Foglio1!T1141+[1]Foglio1!T1143+[1]Foglio1!T1144+[1]Foglio1!T1337</f>
        <v>341312</v>
      </c>
    </row>
    <row r="22" spans="1:4" ht="18" customHeight="1">
      <c r="A22" s="288">
        <v>17</v>
      </c>
      <c r="C22" s="68" t="s">
        <v>471</v>
      </c>
      <c r="D22" s="289">
        <f>+[1]Foglio1!T1227+[1]Foglio1!T1214+[1]Foglio1!T1228+[1]Foglio1!T1229+[1]Foglio1!T1230+[1]Foglio1!T1231+[1]Foglio1!T1232+[1]Foglio1!T1234+[1]Foglio1!T1237+[1]Foglio1!T1238+[1]Foglio1!T1239+[1]Foglio1!T1241+[1]Foglio1!T1262+[1]Foglio1!T1263+[1]Foglio1!T1264+[1]Foglio1!T1258+[1]Foglio1!T1257+[1]Foglio1!T1280+[1]Foglio1!T1281+[1]Foglio1!T1283+[1]Foglio1!T1284+[1]Foglio1!T1285+[1]Foglio1!T1286+[1]Foglio1!T1325+[1]Foglio1!T971+[1]Foglio1!T972+[1]Foglio1!T976-15457</f>
        <v>211329.5</v>
      </c>
    </row>
    <row r="23" spans="1:4" ht="18" customHeight="1">
      <c r="A23" s="288">
        <v>18</v>
      </c>
      <c r="C23" s="68" t="s">
        <v>472</v>
      </c>
      <c r="D23" s="289">
        <v>885064</v>
      </c>
    </row>
    <row r="24" spans="1:4" ht="18" customHeight="1">
      <c r="A24" s="288">
        <v>19</v>
      </c>
      <c r="C24" s="97" t="s">
        <v>473</v>
      </c>
      <c r="D24" s="289">
        <f>+'[1]a-sh.nat'!H24</f>
        <v>3045656</v>
      </c>
    </row>
    <row r="25" spans="1:4" ht="18" customHeight="1">
      <c r="A25" s="288">
        <v>20</v>
      </c>
      <c r="C25" s="97" t="s">
        <v>474</v>
      </c>
      <c r="D25" s="289">
        <f>+'[1]a-sh.nat'!H25</f>
        <v>519108</v>
      </c>
    </row>
    <row r="26" spans="1:4" ht="18" customHeight="1">
      <c r="A26" s="288">
        <v>21</v>
      </c>
      <c r="C26" s="97" t="s">
        <v>475</v>
      </c>
      <c r="D26" s="289">
        <f>+'[1]a-sh.nat'!H28</f>
        <v>1752648.92</v>
      </c>
    </row>
    <row r="27" spans="1:4" ht="18" customHeight="1">
      <c r="A27" s="288">
        <v>22</v>
      </c>
      <c r="C27" s="97" t="s">
        <v>476</v>
      </c>
      <c r="D27" s="289">
        <f>+'[1]a-sh.nat'!H29</f>
        <v>4012549.8</v>
      </c>
    </row>
    <row r="28" spans="1:4" ht="18" customHeight="1">
      <c r="A28" s="288">
        <v>23</v>
      </c>
      <c r="C28" s="97" t="s">
        <v>477</v>
      </c>
      <c r="D28" s="289">
        <f>+'[1]a-sh.nat'!H31</f>
        <v>37349473.883333333</v>
      </c>
    </row>
    <row r="29" spans="1:4" ht="18" customHeight="1">
      <c r="A29" s="288">
        <v>24</v>
      </c>
      <c r="C29" s="97" t="s">
        <v>478</v>
      </c>
      <c r="D29" s="289">
        <f>+'[1]a-sh.nat'!H32</f>
        <v>1371762.1600000001</v>
      </c>
    </row>
    <row r="30" spans="1:4" ht="18" customHeight="1">
      <c r="A30" s="288">
        <v>25</v>
      </c>
      <c r="C30" s="97" t="s">
        <v>479</v>
      </c>
      <c r="D30" s="289">
        <f>+'[1]a-sh.nat'!H33</f>
        <v>27464695.399999999</v>
      </c>
    </row>
    <row r="31" spans="1:4" ht="18" customHeight="1">
      <c r="A31" s="288">
        <v>26</v>
      </c>
      <c r="C31" s="97" t="s">
        <v>480</v>
      </c>
      <c r="D31" s="289">
        <f>+'[1]a-sh.nat'!H34</f>
        <v>27016753.049999993</v>
      </c>
    </row>
    <row r="32" spans="1:4" s="262" customFormat="1" ht="18" customHeight="1">
      <c r="A32" s="291"/>
      <c r="B32" s="292"/>
      <c r="C32" s="292" t="s">
        <v>481</v>
      </c>
      <c r="D32" s="293">
        <f>SUM(D6:D31)</f>
        <v>115315375.18333332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7"/>
  <sheetViews>
    <sheetView tabSelected="1" topLeftCell="A132" workbookViewId="0">
      <selection activeCell="E176" sqref="A1:E176"/>
    </sheetView>
  </sheetViews>
  <sheetFormatPr defaultRowHeight="15"/>
  <cols>
    <col min="1" max="1" width="6.42578125" customWidth="1"/>
    <col min="2" max="2" width="39.28515625" customWidth="1"/>
    <col min="6" max="6" width="10.7109375" customWidth="1"/>
    <col min="7" max="7" width="13" customWidth="1"/>
    <col min="8" max="8" width="11.85546875" customWidth="1"/>
    <col min="9" max="9" width="12.7109375" customWidth="1"/>
    <col min="11" max="11" width="12.7109375" customWidth="1"/>
  </cols>
  <sheetData>
    <row r="1" spans="1:11" ht="15.75">
      <c r="A1" s="263"/>
      <c r="B1" s="294"/>
      <c r="C1" s="263"/>
      <c r="D1" s="209" t="s">
        <v>691</v>
      </c>
      <c r="E1" s="209"/>
      <c r="F1" s="282"/>
      <c r="G1" s="282"/>
      <c r="H1" s="282"/>
      <c r="I1" s="266"/>
      <c r="J1" s="263"/>
      <c r="K1" s="266"/>
    </row>
    <row r="2" spans="1:11">
      <c r="A2" s="263"/>
      <c r="B2" s="294"/>
      <c r="C2" s="263"/>
      <c r="D2" s="263"/>
      <c r="E2" s="263"/>
      <c r="F2" s="266"/>
      <c r="G2" s="266"/>
      <c r="H2" s="266"/>
      <c r="I2" s="266"/>
      <c r="J2" s="263"/>
      <c r="K2" s="266"/>
    </row>
    <row r="3" spans="1:11">
      <c r="A3" s="263"/>
      <c r="B3" s="294"/>
      <c r="C3" s="263"/>
      <c r="D3" s="263"/>
      <c r="E3" s="263"/>
      <c r="F3" s="266"/>
      <c r="G3" s="266"/>
      <c r="H3" s="266"/>
      <c r="I3" s="266"/>
      <c r="J3" s="263"/>
      <c r="K3" s="266"/>
    </row>
    <row r="4" spans="1:11" ht="15.75">
      <c r="A4" s="264" t="s">
        <v>334</v>
      </c>
      <c r="B4" s="264" t="s">
        <v>482</v>
      </c>
      <c r="C4" s="264" t="s">
        <v>483</v>
      </c>
      <c r="D4" s="264" t="s">
        <v>484</v>
      </c>
      <c r="E4" s="264" t="s">
        <v>335</v>
      </c>
      <c r="F4" s="295" t="s">
        <v>485</v>
      </c>
      <c r="G4" s="295" t="s">
        <v>486</v>
      </c>
      <c r="H4" s="295" t="s">
        <v>487</v>
      </c>
      <c r="I4" s="295" t="s">
        <v>486</v>
      </c>
      <c r="J4" s="264" t="s">
        <v>488</v>
      </c>
      <c r="K4" s="295" t="s">
        <v>487</v>
      </c>
    </row>
    <row r="5" spans="1:11" ht="15.75">
      <c r="A5" s="265" t="s">
        <v>489</v>
      </c>
      <c r="B5" s="265" t="s">
        <v>490</v>
      </c>
      <c r="C5" s="265" t="s">
        <v>491</v>
      </c>
      <c r="D5" s="265"/>
      <c r="E5" s="265"/>
      <c r="F5" s="296"/>
      <c r="G5" s="296" t="s">
        <v>492</v>
      </c>
      <c r="H5" s="296" t="s">
        <v>493</v>
      </c>
      <c r="I5" s="296" t="s">
        <v>494</v>
      </c>
      <c r="J5" s="265" t="s">
        <v>495</v>
      </c>
      <c r="K5" s="296" t="s">
        <v>496</v>
      </c>
    </row>
    <row r="6" spans="1:11">
      <c r="A6" s="297">
        <v>1</v>
      </c>
      <c r="B6" s="297" t="s">
        <v>497</v>
      </c>
      <c r="C6" s="298"/>
      <c r="D6" s="298"/>
      <c r="E6" s="298"/>
      <c r="F6" s="299"/>
      <c r="G6" s="299">
        <v>9432544</v>
      </c>
      <c r="H6" s="299">
        <v>4579440</v>
      </c>
      <c r="I6" s="299">
        <f>G6-H6</f>
        <v>4853104</v>
      </c>
      <c r="J6" s="300">
        <v>0.05</v>
      </c>
      <c r="K6" s="299">
        <f>(G6*J6)/12*12</f>
        <v>471627.20000000007</v>
      </c>
    </row>
    <row r="7" spans="1:11">
      <c r="A7" s="297"/>
      <c r="B7" s="297" t="s">
        <v>498</v>
      </c>
      <c r="C7" s="298"/>
      <c r="D7" s="298"/>
      <c r="E7" s="298"/>
      <c r="F7" s="299">
        <v>56000000</v>
      </c>
      <c r="G7" s="299">
        <v>56000000</v>
      </c>
      <c r="H7" s="299"/>
      <c r="I7" s="299">
        <v>56000000</v>
      </c>
      <c r="J7" s="300"/>
      <c r="K7" s="299"/>
    </row>
    <row r="8" spans="1:11">
      <c r="A8" s="297">
        <v>2</v>
      </c>
      <c r="B8" s="297" t="s">
        <v>499</v>
      </c>
      <c r="C8" s="298" t="s">
        <v>500</v>
      </c>
      <c r="D8" s="297" t="s">
        <v>501</v>
      </c>
      <c r="E8" s="297">
        <v>1</v>
      </c>
      <c r="F8" s="299">
        <v>30000</v>
      </c>
      <c r="G8" s="299">
        <f>E8*F8</f>
        <v>30000</v>
      </c>
      <c r="H8" s="299">
        <v>26502</v>
      </c>
      <c r="I8" s="299">
        <f t="shared" ref="I8:I73" si="0">G8-H8</f>
        <v>3498</v>
      </c>
      <c r="J8" s="300">
        <v>0.2</v>
      </c>
      <c r="K8" s="299">
        <f>+I8*J8</f>
        <v>699.6</v>
      </c>
    </row>
    <row r="9" spans="1:11">
      <c r="A9" s="301">
        <v>3</v>
      </c>
      <c r="B9" s="301" t="s">
        <v>502</v>
      </c>
      <c r="C9" s="302" t="s">
        <v>503</v>
      </c>
      <c r="D9" s="301" t="s">
        <v>501</v>
      </c>
      <c r="E9" s="301">
        <v>1</v>
      </c>
      <c r="F9" s="303">
        <v>110000</v>
      </c>
      <c r="G9" s="299">
        <f t="shared" ref="G9:G31" si="1">E9*F9</f>
        <v>110000</v>
      </c>
      <c r="H9" s="303">
        <v>97174</v>
      </c>
      <c r="I9" s="303">
        <f t="shared" si="0"/>
        <v>12826</v>
      </c>
      <c r="J9" s="304">
        <v>0.2</v>
      </c>
      <c r="K9" s="299">
        <f t="shared" ref="K9:K72" si="2">+I9*J9</f>
        <v>2565.2000000000003</v>
      </c>
    </row>
    <row r="10" spans="1:11">
      <c r="A10" s="301">
        <v>4</v>
      </c>
      <c r="B10" s="301" t="s">
        <v>504</v>
      </c>
      <c r="C10" s="302" t="s">
        <v>505</v>
      </c>
      <c r="D10" s="301" t="s">
        <v>501</v>
      </c>
      <c r="E10" s="301">
        <v>1</v>
      </c>
      <c r="F10" s="303">
        <v>35000</v>
      </c>
      <c r="G10" s="299">
        <f t="shared" si="1"/>
        <v>35000</v>
      </c>
      <c r="H10" s="303">
        <v>31653</v>
      </c>
      <c r="I10" s="303">
        <f t="shared" si="0"/>
        <v>3347</v>
      </c>
      <c r="J10" s="304">
        <v>0.2</v>
      </c>
      <c r="K10" s="299">
        <f t="shared" si="2"/>
        <v>669.40000000000009</v>
      </c>
    </row>
    <row r="11" spans="1:11">
      <c r="A11" s="301">
        <v>5</v>
      </c>
      <c r="B11" s="301" t="s">
        <v>506</v>
      </c>
      <c r="C11" s="302" t="s">
        <v>505</v>
      </c>
      <c r="D11" s="301" t="s">
        <v>501</v>
      </c>
      <c r="E11" s="301">
        <v>1</v>
      </c>
      <c r="F11" s="303">
        <v>13200</v>
      </c>
      <c r="G11" s="299">
        <f t="shared" si="1"/>
        <v>13200</v>
      </c>
      <c r="H11" s="303">
        <v>11938</v>
      </c>
      <c r="I11" s="303">
        <f t="shared" si="0"/>
        <v>1262</v>
      </c>
      <c r="J11" s="304">
        <v>0.2</v>
      </c>
      <c r="K11" s="299">
        <f t="shared" si="2"/>
        <v>252.4</v>
      </c>
    </row>
    <row r="12" spans="1:11">
      <c r="A12" s="301">
        <v>6</v>
      </c>
      <c r="B12" s="301" t="s">
        <v>507</v>
      </c>
      <c r="C12" s="302" t="s">
        <v>508</v>
      </c>
      <c r="D12" s="301" t="s">
        <v>501</v>
      </c>
      <c r="E12" s="301">
        <v>1</v>
      </c>
      <c r="F12" s="303">
        <v>560000</v>
      </c>
      <c r="G12" s="299">
        <f t="shared" si="1"/>
        <v>560000</v>
      </c>
      <c r="H12" s="303">
        <v>505128</v>
      </c>
      <c r="I12" s="303">
        <f t="shared" si="0"/>
        <v>54872</v>
      </c>
      <c r="J12" s="304">
        <v>0.2</v>
      </c>
      <c r="K12" s="299">
        <f t="shared" si="2"/>
        <v>10974.400000000001</v>
      </c>
    </row>
    <row r="13" spans="1:11">
      <c r="A13" s="301">
        <v>7</v>
      </c>
      <c r="B13" s="301" t="s">
        <v>509</v>
      </c>
      <c r="C13" s="302" t="s">
        <v>508</v>
      </c>
      <c r="D13" s="301" t="s">
        <v>501</v>
      </c>
      <c r="E13" s="301">
        <v>1</v>
      </c>
      <c r="F13" s="303">
        <v>18400</v>
      </c>
      <c r="G13" s="299">
        <f t="shared" si="1"/>
        <v>18400</v>
      </c>
      <c r="H13" s="303">
        <v>16597</v>
      </c>
      <c r="I13" s="303">
        <f t="shared" si="0"/>
        <v>1803</v>
      </c>
      <c r="J13" s="304">
        <v>0.2</v>
      </c>
      <c r="K13" s="299">
        <f t="shared" si="2"/>
        <v>360.6</v>
      </c>
    </row>
    <row r="14" spans="1:11">
      <c r="A14" s="301">
        <v>8</v>
      </c>
      <c r="B14" s="301" t="s">
        <v>510</v>
      </c>
      <c r="C14" s="302" t="s">
        <v>508</v>
      </c>
      <c r="D14" s="301" t="s">
        <v>501</v>
      </c>
      <c r="E14" s="301">
        <v>1</v>
      </c>
      <c r="F14" s="303">
        <v>12500</v>
      </c>
      <c r="G14" s="299">
        <f t="shared" si="1"/>
        <v>12500</v>
      </c>
      <c r="H14" s="303">
        <v>11275</v>
      </c>
      <c r="I14" s="303">
        <f t="shared" si="0"/>
        <v>1225</v>
      </c>
      <c r="J14" s="304">
        <v>0.2</v>
      </c>
      <c r="K14" s="299">
        <f t="shared" si="2"/>
        <v>245</v>
      </c>
    </row>
    <row r="15" spans="1:11">
      <c r="A15" s="301">
        <v>9</v>
      </c>
      <c r="B15" s="301" t="s">
        <v>511</v>
      </c>
      <c r="C15" s="302" t="s">
        <v>512</v>
      </c>
      <c r="D15" s="301" t="s">
        <v>501</v>
      </c>
      <c r="E15" s="301">
        <v>1</v>
      </c>
      <c r="F15" s="303">
        <v>45000</v>
      </c>
      <c r="G15" s="299">
        <f t="shared" si="1"/>
        <v>45000</v>
      </c>
      <c r="H15" s="303">
        <v>41120</v>
      </c>
      <c r="I15" s="303">
        <f t="shared" si="0"/>
        <v>3880</v>
      </c>
      <c r="J15" s="304">
        <v>0.2</v>
      </c>
      <c r="K15" s="299">
        <f t="shared" si="2"/>
        <v>776</v>
      </c>
    </row>
    <row r="16" spans="1:11">
      <c r="A16" s="301">
        <v>10</v>
      </c>
      <c r="B16" s="301" t="s">
        <v>513</v>
      </c>
      <c r="C16" s="302" t="s">
        <v>514</v>
      </c>
      <c r="D16" s="301" t="s">
        <v>501</v>
      </c>
      <c r="E16" s="301">
        <v>1</v>
      </c>
      <c r="F16" s="303">
        <v>30000</v>
      </c>
      <c r="G16" s="299">
        <f t="shared" si="1"/>
        <v>30000</v>
      </c>
      <c r="H16" s="303">
        <v>27131</v>
      </c>
      <c r="I16" s="303">
        <f t="shared" si="0"/>
        <v>2869</v>
      </c>
      <c r="J16" s="304">
        <v>0.2</v>
      </c>
      <c r="K16" s="299">
        <f t="shared" si="2"/>
        <v>573.80000000000007</v>
      </c>
    </row>
    <row r="17" spans="1:11">
      <c r="A17" s="301">
        <v>11</v>
      </c>
      <c r="B17" s="301" t="s">
        <v>515</v>
      </c>
      <c r="C17" s="302" t="s">
        <v>516</v>
      </c>
      <c r="D17" s="301" t="s">
        <v>501</v>
      </c>
      <c r="E17" s="301">
        <v>1</v>
      </c>
      <c r="F17" s="303">
        <v>28440</v>
      </c>
      <c r="G17" s="299">
        <f t="shared" si="1"/>
        <v>28440</v>
      </c>
      <c r="H17" s="303">
        <v>25453</v>
      </c>
      <c r="I17" s="303">
        <f t="shared" si="0"/>
        <v>2987</v>
      </c>
      <c r="J17" s="304">
        <v>0.2</v>
      </c>
      <c r="K17" s="299">
        <f t="shared" si="2"/>
        <v>597.4</v>
      </c>
    </row>
    <row r="18" spans="1:11">
      <c r="A18" s="301">
        <v>12</v>
      </c>
      <c r="B18" s="301" t="s">
        <v>517</v>
      </c>
      <c r="C18" s="302" t="s">
        <v>518</v>
      </c>
      <c r="D18" s="301" t="s">
        <v>501</v>
      </c>
      <c r="E18" s="301">
        <v>1</v>
      </c>
      <c r="F18" s="303">
        <v>1252960</v>
      </c>
      <c r="G18" s="299">
        <f t="shared" si="1"/>
        <v>1252960</v>
      </c>
      <c r="H18" s="303">
        <v>1127785</v>
      </c>
      <c r="I18" s="303">
        <f t="shared" si="0"/>
        <v>125175</v>
      </c>
      <c r="J18" s="304">
        <v>0.2</v>
      </c>
      <c r="K18" s="299">
        <f t="shared" si="2"/>
        <v>25035</v>
      </c>
    </row>
    <row r="19" spans="1:11">
      <c r="A19" s="301">
        <v>13</v>
      </c>
      <c r="B19" s="297" t="s">
        <v>519</v>
      </c>
      <c r="C19" s="298" t="s">
        <v>520</v>
      </c>
      <c r="D19" s="297" t="s">
        <v>501</v>
      </c>
      <c r="E19" s="297">
        <v>1</v>
      </c>
      <c r="F19" s="299">
        <v>410332</v>
      </c>
      <c r="G19" s="299">
        <f t="shared" si="1"/>
        <v>410332</v>
      </c>
      <c r="H19" s="299">
        <v>366273</v>
      </c>
      <c r="I19" s="299">
        <f t="shared" si="0"/>
        <v>44059</v>
      </c>
      <c r="J19" s="300">
        <v>0.2</v>
      </c>
      <c r="K19" s="299">
        <f t="shared" si="2"/>
        <v>8811.8000000000011</v>
      </c>
    </row>
    <row r="20" spans="1:11">
      <c r="A20" s="301">
        <v>14</v>
      </c>
      <c r="B20" s="301" t="s">
        <v>521</v>
      </c>
      <c r="C20" s="302" t="s">
        <v>522</v>
      </c>
      <c r="D20" s="301" t="s">
        <v>501</v>
      </c>
      <c r="E20" s="301">
        <v>1</v>
      </c>
      <c r="F20" s="303">
        <v>145401</v>
      </c>
      <c r="G20" s="299">
        <f t="shared" si="1"/>
        <v>145401</v>
      </c>
      <c r="H20" s="303">
        <v>95009</v>
      </c>
      <c r="I20" s="303">
        <f t="shared" si="0"/>
        <v>50392</v>
      </c>
      <c r="J20" s="300">
        <v>0.2</v>
      </c>
      <c r="K20" s="299">
        <f t="shared" si="2"/>
        <v>10078.400000000001</v>
      </c>
    </row>
    <row r="21" spans="1:11">
      <c r="A21" s="301">
        <v>15</v>
      </c>
      <c r="B21" s="301" t="s">
        <v>523</v>
      </c>
      <c r="C21" s="302" t="s">
        <v>522</v>
      </c>
      <c r="D21" s="301" t="s">
        <v>501</v>
      </c>
      <c r="E21" s="301">
        <v>1</v>
      </c>
      <c r="F21" s="303">
        <v>143112</v>
      </c>
      <c r="G21" s="299">
        <f t="shared" si="1"/>
        <v>143112</v>
      </c>
      <c r="H21" s="303">
        <v>93514</v>
      </c>
      <c r="I21" s="303">
        <f t="shared" si="0"/>
        <v>49598</v>
      </c>
      <c r="J21" s="300">
        <v>0.2</v>
      </c>
      <c r="K21" s="299">
        <f t="shared" si="2"/>
        <v>9919.6</v>
      </c>
    </row>
    <row r="22" spans="1:11">
      <c r="A22" s="301">
        <v>16</v>
      </c>
      <c r="B22" s="301" t="s">
        <v>524</v>
      </c>
      <c r="C22" s="302" t="s">
        <v>525</v>
      </c>
      <c r="D22" s="301" t="s">
        <v>501</v>
      </c>
      <c r="E22" s="301">
        <v>1</v>
      </c>
      <c r="F22" s="303">
        <v>273294</v>
      </c>
      <c r="G22" s="299">
        <f t="shared" si="1"/>
        <v>273294</v>
      </c>
      <c r="H22" s="303">
        <v>244592</v>
      </c>
      <c r="I22" s="303">
        <f t="shared" si="0"/>
        <v>28702</v>
      </c>
      <c r="J22" s="304">
        <v>0.2</v>
      </c>
      <c r="K22" s="299">
        <f t="shared" si="2"/>
        <v>5740.4000000000005</v>
      </c>
    </row>
    <row r="23" spans="1:11">
      <c r="A23" s="301">
        <v>17</v>
      </c>
      <c r="B23" s="301" t="s">
        <v>526</v>
      </c>
      <c r="C23" s="302" t="s">
        <v>527</v>
      </c>
      <c r="D23" s="301" t="s">
        <v>501</v>
      </c>
      <c r="E23" s="301">
        <v>1</v>
      </c>
      <c r="F23" s="303">
        <v>93687</v>
      </c>
      <c r="G23" s="299">
        <f t="shared" si="1"/>
        <v>93687</v>
      </c>
      <c r="H23" s="303">
        <v>83614</v>
      </c>
      <c r="I23" s="303">
        <f t="shared" si="0"/>
        <v>10073</v>
      </c>
      <c r="J23" s="304">
        <v>0.2</v>
      </c>
      <c r="K23" s="299">
        <f t="shared" si="2"/>
        <v>2014.6000000000001</v>
      </c>
    </row>
    <row r="24" spans="1:11">
      <c r="A24" s="301">
        <v>18</v>
      </c>
      <c r="B24" s="297" t="s">
        <v>497</v>
      </c>
      <c r="C24" s="298" t="s">
        <v>528</v>
      </c>
      <c r="D24" s="297" t="s">
        <v>501</v>
      </c>
      <c r="E24" s="297">
        <v>1</v>
      </c>
      <c r="F24" s="299">
        <v>641701</v>
      </c>
      <c r="G24" s="299">
        <f t="shared" si="1"/>
        <v>641701</v>
      </c>
      <c r="H24" s="299">
        <v>566287</v>
      </c>
      <c r="I24" s="299">
        <f t="shared" si="0"/>
        <v>75414</v>
      </c>
      <c r="J24" s="300">
        <v>0.2</v>
      </c>
      <c r="K24" s="299">
        <f t="shared" si="2"/>
        <v>15082.800000000001</v>
      </c>
    </row>
    <row r="25" spans="1:11">
      <c r="A25" s="301">
        <v>19</v>
      </c>
      <c r="B25" s="297" t="s">
        <v>497</v>
      </c>
      <c r="C25" s="298" t="s">
        <v>529</v>
      </c>
      <c r="D25" s="297" t="s">
        <v>501</v>
      </c>
      <c r="E25" s="297">
        <v>1</v>
      </c>
      <c r="F25" s="299">
        <v>666528</v>
      </c>
      <c r="G25" s="299">
        <f t="shared" si="1"/>
        <v>666528</v>
      </c>
      <c r="H25" s="299">
        <v>588996</v>
      </c>
      <c r="I25" s="299">
        <f t="shared" si="0"/>
        <v>77532</v>
      </c>
      <c r="J25" s="300">
        <v>0.2</v>
      </c>
      <c r="K25" s="299">
        <f t="shared" si="2"/>
        <v>15506.400000000001</v>
      </c>
    </row>
    <row r="26" spans="1:11">
      <c r="A26" s="301">
        <v>20</v>
      </c>
      <c r="B26" s="301" t="s">
        <v>530</v>
      </c>
      <c r="C26" s="302" t="s">
        <v>531</v>
      </c>
      <c r="D26" s="301" t="s">
        <v>501</v>
      </c>
      <c r="E26" s="301">
        <v>1</v>
      </c>
      <c r="F26" s="303">
        <v>117404</v>
      </c>
      <c r="G26" s="299">
        <f t="shared" si="1"/>
        <v>117404</v>
      </c>
      <c r="H26" s="303">
        <v>104273</v>
      </c>
      <c r="I26" s="303">
        <f t="shared" si="0"/>
        <v>13131</v>
      </c>
      <c r="J26" s="304">
        <v>0.2</v>
      </c>
      <c r="K26" s="299">
        <f t="shared" si="2"/>
        <v>2626.2000000000003</v>
      </c>
    </row>
    <row r="27" spans="1:11">
      <c r="A27" s="301">
        <v>21</v>
      </c>
      <c r="B27" s="301" t="s">
        <v>532</v>
      </c>
      <c r="C27" s="302" t="s">
        <v>533</v>
      </c>
      <c r="D27" s="301" t="s">
        <v>501</v>
      </c>
      <c r="E27" s="301">
        <v>1</v>
      </c>
      <c r="F27" s="303">
        <v>100000</v>
      </c>
      <c r="G27" s="299">
        <f t="shared" si="1"/>
        <v>100000</v>
      </c>
      <c r="H27" s="303">
        <v>89038</v>
      </c>
      <c r="I27" s="303">
        <f t="shared" si="0"/>
        <v>10962</v>
      </c>
      <c r="J27" s="304">
        <v>0.2</v>
      </c>
      <c r="K27" s="299">
        <f t="shared" si="2"/>
        <v>2192.4</v>
      </c>
    </row>
    <row r="28" spans="1:11">
      <c r="A28" s="301">
        <v>22</v>
      </c>
      <c r="B28" s="301" t="s">
        <v>534</v>
      </c>
      <c r="C28" s="302" t="s">
        <v>535</v>
      </c>
      <c r="D28" s="301" t="s">
        <v>501</v>
      </c>
      <c r="E28" s="301">
        <v>1</v>
      </c>
      <c r="F28" s="303">
        <v>113200</v>
      </c>
      <c r="G28" s="299">
        <f t="shared" si="1"/>
        <v>113200</v>
      </c>
      <c r="H28" s="303">
        <v>100792</v>
      </c>
      <c r="I28" s="303">
        <f t="shared" si="0"/>
        <v>12408</v>
      </c>
      <c r="J28" s="304">
        <v>0.2</v>
      </c>
      <c r="K28" s="299">
        <f t="shared" si="2"/>
        <v>2481.6000000000004</v>
      </c>
    </row>
    <row r="29" spans="1:11">
      <c r="A29" s="301">
        <v>23</v>
      </c>
      <c r="B29" s="301" t="s">
        <v>536</v>
      </c>
      <c r="C29" s="302" t="s">
        <v>537</v>
      </c>
      <c r="D29" s="301" t="s">
        <v>501</v>
      </c>
      <c r="E29" s="301">
        <v>3</v>
      </c>
      <c r="F29" s="303">
        <v>14583</v>
      </c>
      <c r="G29" s="299">
        <f t="shared" si="1"/>
        <v>43749</v>
      </c>
      <c r="H29" s="303">
        <v>38367</v>
      </c>
      <c r="I29" s="303">
        <f t="shared" si="0"/>
        <v>5382</v>
      </c>
      <c r="J29" s="304">
        <v>0.2</v>
      </c>
      <c r="K29" s="299">
        <f t="shared" si="2"/>
        <v>1076.4000000000001</v>
      </c>
    </row>
    <row r="30" spans="1:11">
      <c r="A30" s="301">
        <v>24</v>
      </c>
      <c r="B30" s="301" t="s">
        <v>536</v>
      </c>
      <c r="C30" s="302" t="s">
        <v>538</v>
      </c>
      <c r="D30" s="301" t="s">
        <v>501</v>
      </c>
      <c r="E30" s="301">
        <v>1</v>
      </c>
      <c r="F30" s="303">
        <v>76583</v>
      </c>
      <c r="G30" s="299">
        <f t="shared" si="1"/>
        <v>76583</v>
      </c>
      <c r="H30" s="303">
        <v>64805</v>
      </c>
      <c r="I30" s="303">
        <f t="shared" si="0"/>
        <v>11778</v>
      </c>
      <c r="J30" s="304">
        <v>0.2</v>
      </c>
      <c r="K30" s="299">
        <f t="shared" si="2"/>
        <v>2355.6</v>
      </c>
    </row>
    <row r="31" spans="1:11">
      <c r="A31" s="301">
        <v>25</v>
      </c>
      <c r="B31" s="301" t="s">
        <v>536</v>
      </c>
      <c r="C31" s="302" t="s">
        <v>539</v>
      </c>
      <c r="D31" s="301" t="s">
        <v>501</v>
      </c>
      <c r="E31" s="301">
        <v>1</v>
      </c>
      <c r="F31" s="303">
        <v>45500</v>
      </c>
      <c r="G31" s="299">
        <f t="shared" si="1"/>
        <v>45500</v>
      </c>
      <c r="H31" s="303">
        <v>36753</v>
      </c>
      <c r="I31" s="303">
        <f t="shared" si="0"/>
        <v>8747</v>
      </c>
      <c r="J31" s="304">
        <v>0.2</v>
      </c>
      <c r="K31" s="299">
        <f t="shared" si="2"/>
        <v>1749.4</v>
      </c>
    </row>
    <row r="32" spans="1:11">
      <c r="A32" s="301">
        <v>26</v>
      </c>
      <c r="B32" s="297" t="str">
        <f>+[3]imp.07!E39</f>
        <v>traktor</v>
      </c>
      <c r="C32" s="298" t="str">
        <f>+[3]imp.07!B37</f>
        <v>15.03.07</v>
      </c>
      <c r="D32" s="297" t="s">
        <v>501</v>
      </c>
      <c r="E32" s="305">
        <v>1</v>
      </c>
      <c r="F32" s="299">
        <f>+G32</f>
        <v>1804841</v>
      </c>
      <c r="G32" s="299">
        <v>1804841</v>
      </c>
      <c r="H32" s="299">
        <v>1090220</v>
      </c>
      <c r="I32" s="299">
        <f t="shared" si="0"/>
        <v>714621</v>
      </c>
      <c r="J32" s="300">
        <v>0.2</v>
      </c>
      <c r="K32" s="299">
        <f t="shared" si="2"/>
        <v>142924.20000000001</v>
      </c>
    </row>
    <row r="33" spans="1:11">
      <c r="A33" s="301">
        <v>27</v>
      </c>
      <c r="B33" s="301" t="str">
        <f>+[3]imp.07!E100</f>
        <v>imp.vadites</v>
      </c>
      <c r="C33" s="306" t="s">
        <v>540</v>
      </c>
      <c r="D33" s="301" t="s">
        <v>501</v>
      </c>
      <c r="E33" s="301">
        <v>1</v>
      </c>
      <c r="F33" s="303">
        <f>+G33/E33</f>
        <v>905636.65720000002</v>
      </c>
      <c r="G33" s="299">
        <f>+[3]imp.07!J100+[3]imp.07!M100</f>
        <v>905636.65720000002</v>
      </c>
      <c r="H33" s="303">
        <v>547053</v>
      </c>
      <c r="I33" s="303">
        <f t="shared" si="0"/>
        <v>358583.65720000002</v>
      </c>
      <c r="J33" s="304">
        <v>0.2</v>
      </c>
      <c r="K33" s="299">
        <f t="shared" si="2"/>
        <v>71716.731440000003</v>
      </c>
    </row>
    <row r="34" spans="1:11">
      <c r="A34" s="301">
        <v>28</v>
      </c>
      <c r="B34" s="301" t="str">
        <f>+[3]imp.07!E120</f>
        <v xml:space="preserve">pompa </v>
      </c>
      <c r="C34" s="302" t="s">
        <v>541</v>
      </c>
      <c r="D34" s="301" t="s">
        <v>501</v>
      </c>
      <c r="E34" s="301">
        <f>+[3]imp.07!F120</f>
        <v>2</v>
      </c>
      <c r="F34" s="303">
        <f t="shared" ref="F34:F57" si="3">+G34/E34</f>
        <v>110833.54</v>
      </c>
      <c r="G34" s="299">
        <f>+[3]imp.07!J120+[3]imp.07!M120</f>
        <v>221667.08</v>
      </c>
      <c r="H34" s="303">
        <v>132385</v>
      </c>
      <c r="I34" s="303">
        <f t="shared" si="0"/>
        <v>89282.079999999987</v>
      </c>
      <c r="J34" s="304">
        <v>0.2</v>
      </c>
      <c r="K34" s="299">
        <f t="shared" si="2"/>
        <v>17856.415999999997</v>
      </c>
    </row>
    <row r="35" spans="1:11">
      <c r="A35" s="301">
        <v>29</v>
      </c>
      <c r="B35" s="301" t="str">
        <f>+[3]imp.07!E124</f>
        <v xml:space="preserve">kazan hekuri </v>
      </c>
      <c r="C35" s="302" t="str">
        <f>+[3]imp.07!B124</f>
        <v>15.10.07</v>
      </c>
      <c r="D35" s="301" t="s">
        <v>501</v>
      </c>
      <c r="E35" s="301">
        <v>1</v>
      </c>
      <c r="F35" s="303">
        <f t="shared" si="3"/>
        <v>74658</v>
      </c>
      <c r="G35" s="299">
        <f>+[3]imp.07!J124+[3]imp.07!M124</f>
        <v>74658</v>
      </c>
      <c r="H35" s="303">
        <v>44078</v>
      </c>
      <c r="I35" s="303">
        <f t="shared" si="0"/>
        <v>30580</v>
      </c>
      <c r="J35" s="304">
        <v>0.2</v>
      </c>
      <c r="K35" s="299">
        <f t="shared" si="2"/>
        <v>6116</v>
      </c>
    </row>
    <row r="36" spans="1:11">
      <c r="A36" s="301">
        <v>30</v>
      </c>
      <c r="B36" s="301" t="str">
        <f>+[3]imp.07!E130</f>
        <v xml:space="preserve">pompa </v>
      </c>
      <c r="C36" s="302" t="str">
        <f>+[3]imp.07!B130</f>
        <v>23.10.07</v>
      </c>
      <c r="D36" s="301" t="s">
        <v>501</v>
      </c>
      <c r="E36" s="301">
        <f>+[3]imp.07!F130</f>
        <v>3</v>
      </c>
      <c r="F36" s="303">
        <f t="shared" si="3"/>
        <v>69288.44</v>
      </c>
      <c r="G36" s="299">
        <f>+[3]imp.07!J130+[3]imp.07!M130</f>
        <v>207865.32</v>
      </c>
      <c r="H36" s="303">
        <v>122723</v>
      </c>
      <c r="I36" s="303">
        <f t="shared" si="0"/>
        <v>85142.32</v>
      </c>
      <c r="J36" s="304">
        <v>0.2</v>
      </c>
      <c r="K36" s="299">
        <f t="shared" si="2"/>
        <v>17028.464000000004</v>
      </c>
    </row>
    <row r="37" spans="1:11">
      <c r="A37" s="301">
        <v>31</v>
      </c>
      <c r="B37" s="297" t="str">
        <f>+[3]mj.k.leasing!D9</f>
        <v>pirun ngites me goma tip 938.13</v>
      </c>
      <c r="C37" s="298" t="s">
        <v>542</v>
      </c>
      <c r="D37" s="297" t="s">
        <v>501</v>
      </c>
      <c r="E37" s="297">
        <v>1</v>
      </c>
      <c r="F37" s="299">
        <f t="shared" si="3"/>
        <v>7323982.9236000003</v>
      </c>
      <c r="G37" s="299">
        <f>+[3]mj.k.leasing!H9</f>
        <v>7323982.9236000003</v>
      </c>
      <c r="H37" s="299">
        <v>2636634</v>
      </c>
      <c r="I37" s="299">
        <f t="shared" si="0"/>
        <v>4687348.9236000003</v>
      </c>
      <c r="J37" s="300">
        <v>0.2</v>
      </c>
      <c r="K37" s="299">
        <f t="shared" si="2"/>
        <v>937469.78472000011</v>
      </c>
    </row>
    <row r="38" spans="1:11">
      <c r="A38" s="301">
        <v>32</v>
      </c>
      <c r="B38" s="297" t="str">
        <f>+[3]mj.k.leasing!D10</f>
        <v>ford fiesta</v>
      </c>
      <c r="C38" s="298" t="s">
        <v>543</v>
      </c>
      <c r="D38" s="297" t="s">
        <v>501</v>
      </c>
      <c r="E38" s="297">
        <v>1</v>
      </c>
      <c r="F38" s="299">
        <f t="shared" si="3"/>
        <v>1086662.5</v>
      </c>
      <c r="G38" s="299">
        <f>+[3]mj.k.leasing!H10</f>
        <v>1086662.5</v>
      </c>
      <c r="H38" s="299">
        <v>530292</v>
      </c>
      <c r="I38" s="299">
        <f t="shared" si="0"/>
        <v>556370.5</v>
      </c>
      <c r="J38" s="300">
        <v>0.2</v>
      </c>
      <c r="K38" s="299">
        <f t="shared" si="2"/>
        <v>111274.1</v>
      </c>
    </row>
    <row r="39" spans="1:11">
      <c r="A39" s="301">
        <v>33</v>
      </c>
      <c r="B39" s="297" t="str">
        <f>+[3]mj.k.leasing!D11</f>
        <v>ford ranger pick-up</v>
      </c>
      <c r="C39" s="298" t="s">
        <v>543</v>
      </c>
      <c r="D39" s="297" t="s">
        <v>501</v>
      </c>
      <c r="E39" s="297">
        <v>1</v>
      </c>
      <c r="F39" s="299">
        <f t="shared" si="3"/>
        <v>1247457.926</v>
      </c>
      <c r="G39" s="299">
        <f>+[3]mj.k.leasing!H11</f>
        <v>1247457.926</v>
      </c>
      <c r="H39" s="299">
        <v>608760</v>
      </c>
      <c r="I39" s="299">
        <f t="shared" si="0"/>
        <v>638697.92599999998</v>
      </c>
      <c r="J39" s="300">
        <v>0.2</v>
      </c>
      <c r="K39" s="299">
        <f t="shared" si="2"/>
        <v>127739.5852</v>
      </c>
    </row>
    <row r="40" spans="1:11">
      <c r="A40" s="301">
        <v>34</v>
      </c>
      <c r="B40" s="297" t="str">
        <f>+[3]mj.k.leasing!D12</f>
        <v>ford transit pick up</v>
      </c>
      <c r="C40" s="298" t="s">
        <v>544</v>
      </c>
      <c r="D40" s="297" t="s">
        <v>501</v>
      </c>
      <c r="E40" s="297">
        <v>1</v>
      </c>
      <c r="F40" s="299">
        <f t="shared" si="3"/>
        <v>2078010</v>
      </c>
      <c r="G40" s="299">
        <f>+[3]mj.k.leasing!H12</f>
        <v>2078010</v>
      </c>
      <c r="H40" s="299">
        <v>748084</v>
      </c>
      <c r="I40" s="299">
        <f t="shared" si="0"/>
        <v>1329926</v>
      </c>
      <c r="J40" s="300">
        <v>0.2</v>
      </c>
      <c r="K40" s="299">
        <f t="shared" si="2"/>
        <v>265985.2</v>
      </c>
    </row>
    <row r="41" spans="1:11">
      <c r="A41" s="301">
        <v>35</v>
      </c>
      <c r="B41" s="301" t="str">
        <f>+[3]bl.vend!D28</f>
        <v>matrapik</v>
      </c>
      <c r="C41" s="302" t="str">
        <f>+[3]bl.vend!B28</f>
        <v>30.01.07</v>
      </c>
      <c r="D41" s="301" t="s">
        <v>501</v>
      </c>
      <c r="E41" s="301">
        <v>1</v>
      </c>
      <c r="F41" s="303">
        <f t="shared" si="3"/>
        <v>17650</v>
      </c>
      <c r="G41" s="299">
        <f>+[3]bl.vend!E28</f>
        <v>17650</v>
      </c>
      <c r="H41" s="303">
        <v>10420</v>
      </c>
      <c r="I41" s="303">
        <f t="shared" si="0"/>
        <v>7230</v>
      </c>
      <c r="J41" s="304">
        <v>0.2</v>
      </c>
      <c r="K41" s="299">
        <f t="shared" si="2"/>
        <v>1446</v>
      </c>
    </row>
    <row r="42" spans="1:11">
      <c r="A42" s="301">
        <v>36</v>
      </c>
      <c r="B42" s="297" t="str">
        <f>+[3]bl.vend!D50</f>
        <v>share</v>
      </c>
      <c r="C42" s="298" t="str">
        <f>+[3]bl.vend!B50</f>
        <v>19.05.07</v>
      </c>
      <c r="D42" s="297" t="s">
        <v>501</v>
      </c>
      <c r="E42" s="297">
        <v>1</v>
      </c>
      <c r="F42" s="299">
        <f t="shared" si="3"/>
        <v>41667</v>
      </c>
      <c r="G42" s="299">
        <f>+[3]bl.vend!E50</f>
        <v>41667</v>
      </c>
      <c r="H42" s="299">
        <v>24600</v>
      </c>
      <c r="I42" s="299">
        <f t="shared" si="0"/>
        <v>17067</v>
      </c>
      <c r="J42" s="300">
        <v>0.2</v>
      </c>
      <c r="K42" s="299">
        <f t="shared" si="2"/>
        <v>3413.4</v>
      </c>
    </row>
    <row r="43" spans="1:11">
      <c r="A43" s="301">
        <v>37</v>
      </c>
      <c r="B43" s="301" t="str">
        <f>+[3]bl.vend!D52</f>
        <v>makine korese</v>
      </c>
      <c r="C43" s="302" t="str">
        <f>+[3]bl.vend!B52</f>
        <v>21.05.07</v>
      </c>
      <c r="D43" s="301" t="s">
        <v>501</v>
      </c>
      <c r="E43" s="301">
        <v>1</v>
      </c>
      <c r="F43" s="303">
        <f t="shared" si="3"/>
        <v>58333</v>
      </c>
      <c r="G43" s="299">
        <f>+[3]bl.vend!E52</f>
        <v>58333</v>
      </c>
      <c r="H43" s="303">
        <v>34440</v>
      </c>
      <c r="I43" s="303">
        <f t="shared" si="0"/>
        <v>23893</v>
      </c>
      <c r="J43" s="304">
        <v>0.2</v>
      </c>
      <c r="K43" s="299">
        <f t="shared" si="2"/>
        <v>4778.6000000000004</v>
      </c>
    </row>
    <row r="44" spans="1:11">
      <c r="A44" s="301">
        <v>38</v>
      </c>
      <c r="B44" s="301" t="str">
        <f>+[3]bl.vend!D56</f>
        <v>aspirator</v>
      </c>
      <c r="C44" s="302" t="str">
        <f>+[3]bl.vend!B56</f>
        <v>13.06.07</v>
      </c>
      <c r="D44" s="301" t="s">
        <v>501</v>
      </c>
      <c r="E44" s="301">
        <v>1</v>
      </c>
      <c r="F44" s="303">
        <f t="shared" si="3"/>
        <v>66667</v>
      </c>
      <c r="G44" s="299">
        <f>+[3]bl.vend!E56</f>
        <v>66667</v>
      </c>
      <c r="H44" s="303">
        <v>39360</v>
      </c>
      <c r="I44" s="303">
        <f t="shared" si="0"/>
        <v>27307</v>
      </c>
      <c r="J44" s="304">
        <v>0.2</v>
      </c>
      <c r="K44" s="299">
        <f t="shared" si="2"/>
        <v>5461.4000000000005</v>
      </c>
    </row>
    <row r="45" spans="1:11">
      <c r="A45" s="301">
        <v>39</v>
      </c>
      <c r="B45" s="301" t="str">
        <f>+[3]bl.vend!D57</f>
        <v>makine korese</v>
      </c>
      <c r="C45" s="302" t="str">
        <f>+[3]bl.vend!B57</f>
        <v>29.06.07</v>
      </c>
      <c r="D45" s="301" t="s">
        <v>501</v>
      </c>
      <c r="E45" s="301">
        <v>1</v>
      </c>
      <c r="F45" s="303">
        <f t="shared" si="3"/>
        <v>10833</v>
      </c>
      <c r="G45" s="299">
        <f>+[3]bl.vend!E57</f>
        <v>10833</v>
      </c>
      <c r="H45" s="303">
        <v>6396</v>
      </c>
      <c r="I45" s="303">
        <f t="shared" si="0"/>
        <v>4437</v>
      </c>
      <c r="J45" s="304">
        <v>0.2</v>
      </c>
      <c r="K45" s="299">
        <f t="shared" si="2"/>
        <v>887.40000000000009</v>
      </c>
    </row>
    <row r="46" spans="1:11">
      <c r="A46" s="301">
        <v>40</v>
      </c>
      <c r="B46" s="297" t="str">
        <f>+[3]bl.vend!D76</f>
        <v>dyer dritare</v>
      </c>
      <c r="C46" s="298" t="str">
        <f>+[3]bl.vend!B76</f>
        <v>21,11,07</v>
      </c>
      <c r="D46" s="297" t="s">
        <v>501</v>
      </c>
      <c r="E46" s="297">
        <v>1</v>
      </c>
      <c r="F46" s="299">
        <f t="shared" si="3"/>
        <v>125000</v>
      </c>
      <c r="G46" s="299">
        <f>+[3]bl.vend!E76</f>
        <v>125000</v>
      </c>
      <c r="H46" s="299">
        <v>73800</v>
      </c>
      <c r="I46" s="299">
        <f t="shared" si="0"/>
        <v>51200</v>
      </c>
      <c r="J46" s="300">
        <v>0.2</v>
      </c>
      <c r="K46" s="299">
        <f t="shared" si="2"/>
        <v>10240</v>
      </c>
    </row>
    <row r="47" spans="1:11">
      <c r="A47" s="301">
        <v>41</v>
      </c>
      <c r="B47" s="297" t="str">
        <f>+[3]bl.vend!D83</f>
        <v>printer</v>
      </c>
      <c r="C47" s="298" t="str">
        <f>+[3]bl.vend!B83</f>
        <v>30,11,07</v>
      </c>
      <c r="D47" s="297" t="s">
        <v>501</v>
      </c>
      <c r="E47" s="297">
        <v>1</v>
      </c>
      <c r="F47" s="299">
        <f t="shared" si="3"/>
        <v>133333</v>
      </c>
      <c r="G47" s="299">
        <f>+[3]bl.vend!E83</f>
        <v>133333</v>
      </c>
      <c r="H47" s="299">
        <v>78720</v>
      </c>
      <c r="I47" s="299">
        <f t="shared" si="0"/>
        <v>54613</v>
      </c>
      <c r="J47" s="300">
        <v>0.2</v>
      </c>
      <c r="K47" s="299">
        <f t="shared" si="2"/>
        <v>10922.6</v>
      </c>
    </row>
    <row r="48" spans="1:11" ht="15.75">
      <c r="A48" s="307">
        <v>42</v>
      </c>
      <c r="B48" s="308" t="s">
        <v>545</v>
      </c>
      <c r="C48" s="309" t="s">
        <v>546</v>
      </c>
      <c r="D48" s="310" t="s">
        <v>501</v>
      </c>
      <c r="E48" s="310">
        <v>1</v>
      </c>
      <c r="F48" s="311">
        <f t="shared" si="3"/>
        <v>8787600</v>
      </c>
      <c r="G48" s="311">
        <f>+[4]mj.k.lizing!H40</f>
        <v>8787600</v>
      </c>
      <c r="H48" s="311">
        <v>3163536</v>
      </c>
      <c r="I48" s="311">
        <f t="shared" si="0"/>
        <v>5624064</v>
      </c>
      <c r="J48" s="312">
        <v>0.2</v>
      </c>
      <c r="K48" s="311">
        <f>+I48*J48/12*6</f>
        <v>562406.40000000002</v>
      </c>
    </row>
    <row r="49" spans="1:11">
      <c r="A49" s="301">
        <v>43</v>
      </c>
      <c r="B49" s="313" t="s">
        <v>547</v>
      </c>
      <c r="C49" s="302" t="s">
        <v>546</v>
      </c>
      <c r="D49" s="301" t="s">
        <v>501</v>
      </c>
      <c r="E49" s="301">
        <v>1</v>
      </c>
      <c r="F49" s="303">
        <f t="shared" si="3"/>
        <v>1088279.1666666665</v>
      </c>
      <c r="G49" s="299">
        <f>+[4]mj.k.lizing!H41</f>
        <v>1088279.1666666665</v>
      </c>
      <c r="H49" s="303">
        <v>531081</v>
      </c>
      <c r="I49" s="303">
        <f t="shared" si="0"/>
        <v>557198.16666666651</v>
      </c>
      <c r="J49" s="304">
        <v>0.2</v>
      </c>
      <c r="K49" s="299">
        <f t="shared" si="2"/>
        <v>111439.6333333333</v>
      </c>
    </row>
    <row r="50" spans="1:11">
      <c r="A50" s="301">
        <v>44</v>
      </c>
      <c r="B50" s="314" t="s">
        <v>548</v>
      </c>
      <c r="C50" s="298" t="s">
        <v>546</v>
      </c>
      <c r="D50" s="297" t="s">
        <v>501</v>
      </c>
      <c r="E50" s="297">
        <v>1</v>
      </c>
      <c r="F50" s="299">
        <f t="shared" si="3"/>
        <v>1826681.6666666667</v>
      </c>
      <c r="G50" s="299">
        <f>+[4]mj.k.lizing!H42</f>
        <v>1826681.6666666667</v>
      </c>
      <c r="H50" s="299">
        <v>891420</v>
      </c>
      <c r="I50" s="299">
        <f t="shared" si="0"/>
        <v>935261.66666666674</v>
      </c>
      <c r="J50" s="300">
        <v>0.2</v>
      </c>
      <c r="K50" s="299">
        <f t="shared" si="2"/>
        <v>187052.33333333337</v>
      </c>
    </row>
    <row r="51" spans="1:11">
      <c r="A51" s="301">
        <v>45</v>
      </c>
      <c r="B51" s="314" t="s">
        <v>549</v>
      </c>
      <c r="C51" s="298" t="s">
        <v>546</v>
      </c>
      <c r="D51" s="297" t="s">
        <v>501</v>
      </c>
      <c r="E51" s="297">
        <v>1</v>
      </c>
      <c r="F51" s="299">
        <f t="shared" si="3"/>
        <v>7420640</v>
      </c>
      <c r="G51" s="299">
        <f>+[4]mj.k.lizing!H43</f>
        <v>7420640</v>
      </c>
      <c r="H51" s="299">
        <v>2671430</v>
      </c>
      <c r="I51" s="299">
        <f t="shared" si="0"/>
        <v>4749210</v>
      </c>
      <c r="J51" s="300">
        <v>0.2</v>
      </c>
      <c r="K51" s="299">
        <f t="shared" si="2"/>
        <v>949842</v>
      </c>
    </row>
    <row r="52" spans="1:11">
      <c r="A52" s="301">
        <v>46</v>
      </c>
      <c r="B52" s="297" t="s">
        <v>550</v>
      </c>
      <c r="C52" s="315" t="s">
        <v>551</v>
      </c>
      <c r="D52" s="301" t="s">
        <v>501</v>
      </c>
      <c r="E52" s="301">
        <v>1</v>
      </c>
      <c r="F52" s="303">
        <f t="shared" si="3"/>
        <v>1739822</v>
      </c>
      <c r="G52" s="299">
        <v>1739822</v>
      </c>
      <c r="H52" s="303">
        <v>626336</v>
      </c>
      <c r="I52" s="299">
        <f t="shared" si="0"/>
        <v>1113486</v>
      </c>
      <c r="J52" s="304">
        <v>0.2</v>
      </c>
      <c r="K52" s="299">
        <f t="shared" si="2"/>
        <v>222697.2</v>
      </c>
    </row>
    <row r="53" spans="1:11">
      <c r="A53" s="301">
        <v>47</v>
      </c>
      <c r="B53" s="297" t="s">
        <v>552</v>
      </c>
      <c r="C53" s="315" t="s">
        <v>551</v>
      </c>
      <c r="D53" s="301" t="s">
        <v>501</v>
      </c>
      <c r="E53" s="301">
        <v>1</v>
      </c>
      <c r="F53" s="303">
        <f t="shared" si="3"/>
        <v>182764</v>
      </c>
      <c r="G53" s="299">
        <v>182764</v>
      </c>
      <c r="H53" s="303">
        <v>89189</v>
      </c>
      <c r="I53" s="299">
        <f t="shared" si="0"/>
        <v>93575</v>
      </c>
      <c r="J53" s="304">
        <v>0.2</v>
      </c>
      <c r="K53" s="299">
        <f t="shared" si="2"/>
        <v>18715</v>
      </c>
    </row>
    <row r="54" spans="1:11">
      <c r="A54" s="301">
        <v>48</v>
      </c>
      <c r="B54" s="297" t="s">
        <v>553</v>
      </c>
      <c r="C54" s="316" t="s">
        <v>551</v>
      </c>
      <c r="D54" s="297" t="s">
        <v>501</v>
      </c>
      <c r="E54" s="297">
        <v>1</v>
      </c>
      <c r="F54" s="299">
        <f t="shared" si="3"/>
        <v>456910</v>
      </c>
      <c r="G54" s="299">
        <v>456910</v>
      </c>
      <c r="H54" s="299">
        <v>222972</v>
      </c>
      <c r="I54" s="299">
        <f t="shared" si="0"/>
        <v>233938</v>
      </c>
      <c r="J54" s="300">
        <v>0.2</v>
      </c>
      <c r="K54" s="299">
        <f t="shared" si="2"/>
        <v>46787.600000000006</v>
      </c>
    </row>
    <row r="55" spans="1:11">
      <c r="A55" s="301">
        <v>49</v>
      </c>
      <c r="B55" s="297" t="s">
        <v>554</v>
      </c>
      <c r="C55" s="316" t="s">
        <v>555</v>
      </c>
      <c r="D55" s="297" t="s">
        <v>501</v>
      </c>
      <c r="E55" s="297">
        <v>1</v>
      </c>
      <c r="F55" s="299">
        <f t="shared" si="3"/>
        <v>180018</v>
      </c>
      <c r="G55" s="299">
        <v>180018</v>
      </c>
      <c r="H55" s="299">
        <v>104073</v>
      </c>
      <c r="I55" s="299">
        <f t="shared" si="0"/>
        <v>75945</v>
      </c>
      <c r="J55" s="300">
        <v>0.25</v>
      </c>
      <c r="K55" s="299">
        <f t="shared" si="2"/>
        <v>18986.25</v>
      </c>
    </row>
    <row r="56" spans="1:11">
      <c r="A56" s="301">
        <v>50</v>
      </c>
      <c r="B56" s="317" t="s">
        <v>556</v>
      </c>
      <c r="C56" s="318" t="s">
        <v>557</v>
      </c>
      <c r="D56" s="301" t="s">
        <v>501</v>
      </c>
      <c r="E56" s="301">
        <v>1</v>
      </c>
      <c r="F56" s="303">
        <f t="shared" si="3"/>
        <v>41667</v>
      </c>
      <c r="G56" s="299">
        <v>41667</v>
      </c>
      <c r="H56" s="303">
        <v>20333</v>
      </c>
      <c r="I56" s="299">
        <f t="shared" si="0"/>
        <v>21334</v>
      </c>
      <c r="J56" s="304">
        <v>0.2</v>
      </c>
      <c r="K56" s="299">
        <f t="shared" si="2"/>
        <v>4266.8</v>
      </c>
    </row>
    <row r="57" spans="1:11">
      <c r="A57" s="301">
        <v>51</v>
      </c>
      <c r="B57" s="317" t="s">
        <v>558</v>
      </c>
      <c r="C57" s="316" t="s">
        <v>559</v>
      </c>
      <c r="D57" s="297" t="s">
        <v>501</v>
      </c>
      <c r="E57" s="297">
        <v>1</v>
      </c>
      <c r="F57" s="299">
        <f t="shared" si="3"/>
        <v>423591</v>
      </c>
      <c r="G57" s="299">
        <v>423591</v>
      </c>
      <c r="H57" s="299">
        <v>206713</v>
      </c>
      <c r="I57" s="299">
        <f t="shared" si="0"/>
        <v>216878</v>
      </c>
      <c r="J57" s="300">
        <v>0.2</v>
      </c>
      <c r="K57" s="299">
        <f t="shared" si="2"/>
        <v>43375.600000000006</v>
      </c>
    </row>
    <row r="58" spans="1:11">
      <c r="A58" s="301">
        <v>52</v>
      </c>
      <c r="B58" s="301" t="s">
        <v>560</v>
      </c>
      <c r="C58" s="302">
        <v>2006</v>
      </c>
      <c r="D58" s="301" t="s">
        <v>501</v>
      </c>
      <c r="E58" s="301">
        <v>1</v>
      </c>
      <c r="F58" s="303">
        <f t="shared" ref="F58:F70" si="4">G58/E58</f>
        <v>25962.639999999999</v>
      </c>
      <c r="G58" s="299">
        <f>+'[5]inv mj.k 2009'!G45</f>
        <v>25962.639999999999</v>
      </c>
      <c r="H58" s="303">
        <v>13541</v>
      </c>
      <c r="I58" s="299">
        <f t="shared" si="0"/>
        <v>12421.64</v>
      </c>
      <c r="J58" s="304">
        <v>0.2</v>
      </c>
      <c r="K58" s="299">
        <f t="shared" si="2"/>
        <v>2484.328</v>
      </c>
    </row>
    <row r="59" spans="1:11">
      <c r="A59" s="301">
        <v>53</v>
      </c>
      <c r="B59" s="297" t="s">
        <v>561</v>
      </c>
      <c r="C59" s="298">
        <v>2006</v>
      </c>
      <c r="D59" s="297" t="s">
        <v>501</v>
      </c>
      <c r="E59" s="319">
        <v>1</v>
      </c>
      <c r="F59" s="299">
        <f t="shared" si="4"/>
        <v>82945.94</v>
      </c>
      <c r="G59" s="299">
        <f>+'[5]inv mj.k 2009'!G46</f>
        <v>82945.94</v>
      </c>
      <c r="H59" s="303">
        <v>43262</v>
      </c>
      <c r="I59" s="299">
        <f t="shared" si="0"/>
        <v>39683.94</v>
      </c>
      <c r="J59" s="304">
        <v>0.2</v>
      </c>
      <c r="K59" s="299">
        <f t="shared" si="2"/>
        <v>7936.7880000000005</v>
      </c>
    </row>
    <row r="60" spans="1:11">
      <c r="A60" s="301">
        <v>54</v>
      </c>
      <c r="B60" s="297" t="s">
        <v>562</v>
      </c>
      <c r="C60" s="298">
        <v>2006</v>
      </c>
      <c r="D60" s="297" t="s">
        <v>501</v>
      </c>
      <c r="E60" s="319">
        <v>2</v>
      </c>
      <c r="F60" s="299">
        <f t="shared" si="4"/>
        <v>35126.959999999999</v>
      </c>
      <c r="G60" s="299">
        <f>+'[5]inv mj.k 2009'!G47</f>
        <v>70253.919999999998</v>
      </c>
      <c r="H60" s="303">
        <v>36643</v>
      </c>
      <c r="I60" s="299">
        <f t="shared" si="0"/>
        <v>33610.92</v>
      </c>
      <c r="J60" s="304">
        <v>0.2</v>
      </c>
      <c r="K60" s="299">
        <f t="shared" si="2"/>
        <v>6722.1840000000002</v>
      </c>
    </row>
    <row r="61" spans="1:11">
      <c r="A61" s="301">
        <v>55</v>
      </c>
      <c r="B61" s="297" t="s">
        <v>563</v>
      </c>
      <c r="C61" s="298">
        <v>2006</v>
      </c>
      <c r="D61" s="297" t="s">
        <v>501</v>
      </c>
      <c r="E61" s="319">
        <v>4</v>
      </c>
      <c r="F61" s="299">
        <f t="shared" si="4"/>
        <v>19770</v>
      </c>
      <c r="G61" s="299">
        <f>+'[5]inv mj.k 2009'!G48</f>
        <v>79080</v>
      </c>
      <c r="H61" s="303">
        <v>41245</v>
      </c>
      <c r="I61" s="299">
        <f t="shared" si="0"/>
        <v>37835</v>
      </c>
      <c r="J61" s="304">
        <v>0.2</v>
      </c>
      <c r="K61" s="299">
        <f t="shared" si="2"/>
        <v>7567</v>
      </c>
    </row>
    <row r="62" spans="1:11">
      <c r="A62" s="301">
        <v>56</v>
      </c>
      <c r="B62" s="297" t="s">
        <v>564</v>
      </c>
      <c r="C62" s="298">
        <v>2006</v>
      </c>
      <c r="D62" s="297" t="s">
        <v>501</v>
      </c>
      <c r="E62" s="319">
        <v>3</v>
      </c>
      <c r="F62" s="299">
        <f t="shared" si="4"/>
        <v>197771.69999999998</v>
      </c>
      <c r="G62" s="299">
        <f>+'[5]inv mj.k 2009'!G49</f>
        <v>593315.1</v>
      </c>
      <c r="H62" s="303">
        <v>309542</v>
      </c>
      <c r="I62" s="299">
        <f t="shared" si="0"/>
        <v>283773.09999999998</v>
      </c>
      <c r="J62" s="304">
        <v>0.2</v>
      </c>
      <c r="K62" s="299">
        <f t="shared" si="2"/>
        <v>56754.619999999995</v>
      </c>
    </row>
    <row r="63" spans="1:11">
      <c r="A63" s="301">
        <v>57</v>
      </c>
      <c r="B63" s="297" t="s">
        <v>565</v>
      </c>
      <c r="C63" s="298">
        <v>2006</v>
      </c>
      <c r="D63" s="297" t="s">
        <v>501</v>
      </c>
      <c r="E63" s="319">
        <v>1</v>
      </c>
      <c r="F63" s="299">
        <f t="shared" si="4"/>
        <v>197771.7</v>
      </c>
      <c r="G63" s="299">
        <f>+'[5]inv mj.k 2009'!G50</f>
        <v>197771.7</v>
      </c>
      <c r="H63" s="303">
        <v>103150</v>
      </c>
      <c r="I63" s="299">
        <f t="shared" si="0"/>
        <v>94621.700000000012</v>
      </c>
      <c r="J63" s="304">
        <v>0.2</v>
      </c>
      <c r="K63" s="299">
        <f t="shared" si="2"/>
        <v>18924.340000000004</v>
      </c>
    </row>
    <row r="64" spans="1:11">
      <c r="A64" s="301">
        <v>58</v>
      </c>
      <c r="B64" s="297" t="s">
        <v>566</v>
      </c>
      <c r="C64" s="298">
        <v>2006</v>
      </c>
      <c r="D64" s="297" t="s">
        <v>501</v>
      </c>
      <c r="E64" s="319">
        <v>1</v>
      </c>
      <c r="F64" s="299">
        <f t="shared" si="4"/>
        <v>44270.400000000001</v>
      </c>
      <c r="G64" s="299">
        <f>+'[5]inv mj.k 2009'!G51</f>
        <v>44270.400000000001</v>
      </c>
      <c r="H64" s="303">
        <v>23090</v>
      </c>
      <c r="I64" s="299">
        <f t="shared" si="0"/>
        <v>21180.400000000001</v>
      </c>
      <c r="J64" s="304">
        <v>0.2</v>
      </c>
      <c r="K64" s="299">
        <f t="shared" si="2"/>
        <v>4236.0800000000008</v>
      </c>
    </row>
    <row r="65" spans="1:11">
      <c r="A65" s="301">
        <v>59</v>
      </c>
      <c r="B65" s="297" t="s">
        <v>567</v>
      </c>
      <c r="C65" s="298">
        <v>2006</v>
      </c>
      <c r="D65" s="297" t="s">
        <v>501</v>
      </c>
      <c r="E65" s="319">
        <v>1</v>
      </c>
      <c r="F65" s="299">
        <f t="shared" si="4"/>
        <v>180317.28</v>
      </c>
      <c r="G65" s="299">
        <f>+'[5]inv mj.k 2009'!G52</f>
        <v>180317.28</v>
      </c>
      <c r="H65" s="303">
        <v>94047</v>
      </c>
      <c r="I65" s="299">
        <f t="shared" si="0"/>
        <v>86270.28</v>
      </c>
      <c r="J65" s="304">
        <v>0.2</v>
      </c>
      <c r="K65" s="299">
        <f t="shared" si="2"/>
        <v>17254.056</v>
      </c>
    </row>
    <row r="66" spans="1:11">
      <c r="A66" s="301">
        <v>60</v>
      </c>
      <c r="B66" s="297" t="s">
        <v>568</v>
      </c>
      <c r="C66" s="298">
        <v>2006</v>
      </c>
      <c r="D66" s="297" t="s">
        <v>501</v>
      </c>
      <c r="E66" s="319">
        <v>1</v>
      </c>
      <c r="F66" s="299">
        <f t="shared" si="4"/>
        <v>1142148</v>
      </c>
      <c r="G66" s="299">
        <f>+'[5]inv mj.k 2009'!G53</f>
        <v>1142148</v>
      </c>
      <c r="H66" s="303">
        <v>591931</v>
      </c>
      <c r="I66" s="299">
        <f t="shared" si="0"/>
        <v>550217</v>
      </c>
      <c r="J66" s="304">
        <v>0.2</v>
      </c>
      <c r="K66" s="299">
        <f t="shared" si="2"/>
        <v>110043.40000000001</v>
      </c>
    </row>
    <row r="67" spans="1:11">
      <c r="A67" s="301">
        <v>61</v>
      </c>
      <c r="B67" s="297" t="s">
        <v>569</v>
      </c>
      <c r="C67" s="298">
        <v>2006</v>
      </c>
      <c r="D67" s="297" t="s">
        <v>501</v>
      </c>
      <c r="E67" s="319">
        <v>1</v>
      </c>
      <c r="F67" s="299">
        <f t="shared" si="4"/>
        <v>77588.539999999994</v>
      </c>
      <c r="G67" s="299">
        <f>+'[5]inv mj.k 2009'!G54</f>
        <v>77588.539999999994</v>
      </c>
      <c r="H67" s="303">
        <v>40467</v>
      </c>
      <c r="I67" s="299">
        <f t="shared" si="0"/>
        <v>37121.539999999994</v>
      </c>
      <c r="J67" s="304">
        <v>0.2</v>
      </c>
      <c r="K67" s="299">
        <f t="shared" si="2"/>
        <v>7424.3079999999991</v>
      </c>
    </row>
    <row r="68" spans="1:11">
      <c r="A68" s="301">
        <v>62</v>
      </c>
      <c r="B68" s="297" t="s">
        <v>570</v>
      </c>
      <c r="C68" s="298">
        <v>2006</v>
      </c>
      <c r="D68" s="297" t="s">
        <v>501</v>
      </c>
      <c r="E68" s="319">
        <v>1</v>
      </c>
      <c r="F68" s="299">
        <f t="shared" si="4"/>
        <v>28437.620000000003</v>
      </c>
      <c r="G68" s="299">
        <f>+'[5]inv mj.k 2009'!G55</f>
        <v>28437.620000000003</v>
      </c>
      <c r="H68" s="303">
        <v>14832</v>
      </c>
      <c r="I68" s="299">
        <f t="shared" si="0"/>
        <v>13605.620000000003</v>
      </c>
      <c r="J68" s="304">
        <v>0.2</v>
      </c>
      <c r="K68" s="299">
        <f t="shared" si="2"/>
        <v>2721.1240000000007</v>
      </c>
    </row>
    <row r="69" spans="1:11">
      <c r="A69" s="301">
        <v>63</v>
      </c>
      <c r="B69" s="297" t="s">
        <v>571</v>
      </c>
      <c r="C69" s="298">
        <v>2006</v>
      </c>
      <c r="D69" s="297" t="s">
        <v>501</v>
      </c>
      <c r="E69" s="319">
        <v>1</v>
      </c>
      <c r="F69" s="299">
        <f t="shared" si="4"/>
        <v>19834.900000000001</v>
      </c>
      <c r="G69" s="299">
        <f>+'[5]inv mj.k 2009'!G56</f>
        <v>19834.900000000001</v>
      </c>
      <c r="H69" s="303">
        <v>10345</v>
      </c>
      <c r="I69" s="299">
        <f t="shared" si="0"/>
        <v>9489.9000000000015</v>
      </c>
      <c r="J69" s="304">
        <v>0.2</v>
      </c>
      <c r="K69" s="299">
        <f t="shared" si="2"/>
        <v>1897.9800000000005</v>
      </c>
    </row>
    <row r="70" spans="1:11">
      <c r="A70" s="301">
        <v>64</v>
      </c>
      <c r="B70" s="297" t="s">
        <v>572</v>
      </c>
      <c r="C70" s="298">
        <v>2006</v>
      </c>
      <c r="D70" s="297" t="s">
        <v>501</v>
      </c>
      <c r="E70" s="319">
        <v>1</v>
      </c>
      <c r="F70" s="299">
        <f t="shared" si="4"/>
        <v>39669.800000000003</v>
      </c>
      <c r="G70" s="299">
        <f>+'[5]inv mj.k 2009'!G57</f>
        <v>39669.800000000003</v>
      </c>
      <c r="H70" s="303">
        <v>20691</v>
      </c>
      <c r="I70" s="299">
        <f t="shared" si="0"/>
        <v>18978.800000000003</v>
      </c>
      <c r="J70" s="304">
        <v>0.2</v>
      </c>
      <c r="K70" s="299">
        <f t="shared" si="2"/>
        <v>3795.7600000000007</v>
      </c>
    </row>
    <row r="71" spans="1:11">
      <c r="A71" s="301">
        <v>65</v>
      </c>
      <c r="B71" s="297" t="str">
        <f>+[5]bl.vend!C91</f>
        <v>eurosistemalbania</v>
      </c>
      <c r="C71" s="320" t="s">
        <v>573</v>
      </c>
      <c r="D71" s="297" t="s">
        <v>501</v>
      </c>
      <c r="E71" s="319">
        <v>1</v>
      </c>
      <c r="F71" s="299">
        <f>+G71</f>
        <v>183400</v>
      </c>
      <c r="G71" s="299">
        <f>+[5]bl.vend!E91</f>
        <v>183400</v>
      </c>
      <c r="H71" s="303">
        <v>36680</v>
      </c>
      <c r="I71" s="299">
        <f t="shared" si="0"/>
        <v>146720</v>
      </c>
      <c r="J71" s="304">
        <v>0.2</v>
      </c>
      <c r="K71" s="299">
        <f t="shared" si="2"/>
        <v>29344</v>
      </c>
    </row>
    <row r="72" spans="1:11">
      <c r="A72" s="301">
        <v>66</v>
      </c>
      <c r="B72" s="297" t="str">
        <f>+[5]bl.vend!D41</f>
        <v>pompa uji</v>
      </c>
      <c r="C72" s="320" t="str">
        <f>+[5]bl.vend!B41</f>
        <v>09.07.09</v>
      </c>
      <c r="D72" s="297" t="s">
        <v>501</v>
      </c>
      <c r="E72" s="319">
        <v>1</v>
      </c>
      <c r="F72" s="299">
        <f t="shared" ref="F72:F86" si="5">+G72</f>
        <v>65000</v>
      </c>
      <c r="G72" s="299">
        <f>+[5]bl.vend!E41</f>
        <v>65000</v>
      </c>
      <c r="H72" s="303">
        <v>21306</v>
      </c>
      <c r="I72" s="299">
        <f>G72-H72</f>
        <v>43694</v>
      </c>
      <c r="J72" s="304">
        <v>0.2</v>
      </c>
      <c r="K72" s="299">
        <f t="shared" si="2"/>
        <v>8738.8000000000011</v>
      </c>
    </row>
    <row r="73" spans="1:11">
      <c r="A73" s="301">
        <v>67</v>
      </c>
      <c r="B73" s="297" t="str">
        <f>+[5]bl.vend!C26</f>
        <v>la prealpina</v>
      </c>
      <c r="C73" s="320" t="str">
        <f>+[5]bl.vend!B26</f>
        <v>20.05.09</v>
      </c>
      <c r="D73" s="297" t="s">
        <v>501</v>
      </c>
      <c r="E73" s="319">
        <v>1</v>
      </c>
      <c r="F73" s="299">
        <f t="shared" si="5"/>
        <v>13950</v>
      </c>
      <c r="G73" s="299">
        <f>+[5]bl.vend!E26</f>
        <v>13950</v>
      </c>
      <c r="H73" s="303">
        <v>4911</v>
      </c>
      <c r="I73" s="299">
        <f t="shared" si="0"/>
        <v>9039</v>
      </c>
      <c r="J73" s="304">
        <v>0.2</v>
      </c>
      <c r="K73" s="299">
        <f t="shared" ref="K73:K136" si="6">+I73*J73</f>
        <v>1807.8000000000002</v>
      </c>
    </row>
    <row r="74" spans="1:11">
      <c r="A74" s="301">
        <v>68</v>
      </c>
      <c r="B74" s="297" t="str">
        <f>+[5]bl.vend!C58</f>
        <v>la prealpina</v>
      </c>
      <c r="C74" s="320" t="str">
        <f>+[5]bl.vend!B58</f>
        <v>15.09.09</v>
      </c>
      <c r="D74" s="297" t="s">
        <v>501</v>
      </c>
      <c r="E74" s="319">
        <v>1</v>
      </c>
      <c r="F74" s="299">
        <f t="shared" si="5"/>
        <v>22692</v>
      </c>
      <c r="G74" s="299">
        <f>+[5]bl.vend!E58</f>
        <v>22692</v>
      </c>
      <c r="H74" s="303">
        <v>5138</v>
      </c>
      <c r="I74" s="299">
        <f t="shared" ref="I74:I137" si="7">G74-H74</f>
        <v>17554</v>
      </c>
      <c r="J74" s="304">
        <v>0.2</v>
      </c>
      <c r="K74" s="299">
        <f t="shared" si="6"/>
        <v>3510.8</v>
      </c>
    </row>
    <row r="75" spans="1:11">
      <c r="A75" s="301">
        <v>69</v>
      </c>
      <c r="B75" s="297" t="str">
        <f>+[5]bl.vend!C98</f>
        <v>iva elektrika</v>
      </c>
      <c r="C75" s="320">
        <f>+[5]bl.vend!B98</f>
        <v>0.46607638888888886</v>
      </c>
      <c r="D75" s="297" t="s">
        <v>501</v>
      </c>
      <c r="E75" s="319">
        <v>1</v>
      </c>
      <c r="F75" s="299">
        <f t="shared" si="5"/>
        <v>64650</v>
      </c>
      <c r="G75" s="299">
        <f>+[5]bl.vend!E98+[5]bl.vend!F99+[5]bl.vend!E103</f>
        <v>64650</v>
      </c>
      <c r="H75" s="303">
        <v>12930</v>
      </c>
      <c r="I75" s="299">
        <f t="shared" si="7"/>
        <v>51720</v>
      </c>
      <c r="J75" s="304">
        <v>0.2</v>
      </c>
      <c r="K75" s="299">
        <f t="shared" si="6"/>
        <v>10344</v>
      </c>
    </row>
    <row r="76" spans="1:11">
      <c r="A76" s="301">
        <v>70</v>
      </c>
      <c r="B76" s="297" t="str">
        <f>+[5]bl.vend!C103</f>
        <v>iva elektrika</v>
      </c>
      <c r="C76" s="320" t="str">
        <f>+[5]bl.vend!B121</f>
        <v>21.12.09</v>
      </c>
      <c r="D76" s="297" t="s">
        <v>501</v>
      </c>
      <c r="E76" s="319">
        <v>1</v>
      </c>
      <c r="F76" s="299">
        <f t="shared" si="5"/>
        <v>37367</v>
      </c>
      <c r="G76" s="299">
        <f>+[5]bl.vend!E121</f>
        <v>37367</v>
      </c>
      <c r="H76" s="303">
        <v>7473</v>
      </c>
      <c r="I76" s="299">
        <f t="shared" si="7"/>
        <v>29894</v>
      </c>
      <c r="J76" s="304">
        <v>0.2</v>
      </c>
      <c r="K76" s="299">
        <f t="shared" si="6"/>
        <v>5978.8</v>
      </c>
    </row>
    <row r="77" spans="1:11">
      <c r="A77" s="301">
        <v>71</v>
      </c>
      <c r="B77" s="297" t="str">
        <f>+[5]bl.vend!D49</f>
        <v>ford ronger</v>
      </c>
      <c r="C77" s="320" t="str">
        <f>+[5]bl.vend!B49</f>
        <v>31.08.09</v>
      </c>
      <c r="D77" s="297" t="s">
        <v>501</v>
      </c>
      <c r="E77" s="319">
        <v>1</v>
      </c>
      <c r="F77" s="299">
        <f t="shared" si="5"/>
        <v>2426783.4</v>
      </c>
      <c r="G77" s="299">
        <f>+[5]bl.vend!E49</f>
        <v>2426783.4</v>
      </c>
      <c r="H77" s="299">
        <v>674645</v>
      </c>
      <c r="I77" s="299">
        <f t="shared" si="7"/>
        <v>1752138.4</v>
      </c>
      <c r="J77" s="300">
        <v>0.2</v>
      </c>
      <c r="K77" s="299">
        <f t="shared" si="6"/>
        <v>350427.68</v>
      </c>
    </row>
    <row r="78" spans="1:11">
      <c r="A78" s="301">
        <v>72</v>
      </c>
      <c r="B78" s="297" t="str">
        <f>+[5]bl.vend!D50</f>
        <v>ford tranzit</v>
      </c>
      <c r="C78" s="320" t="str">
        <f>+[5]bl.vend!B50</f>
        <v>31.08.09</v>
      </c>
      <c r="D78" s="297" t="s">
        <v>501</v>
      </c>
      <c r="E78" s="319">
        <v>1</v>
      </c>
      <c r="F78" s="299">
        <f t="shared" si="5"/>
        <v>2592245.9</v>
      </c>
      <c r="G78" s="299">
        <f>+[5]bl.vend!E50</f>
        <v>2592245.9</v>
      </c>
      <c r="H78" s="299">
        <v>720644</v>
      </c>
      <c r="I78" s="299">
        <f t="shared" si="7"/>
        <v>1871601.9</v>
      </c>
      <c r="J78" s="300">
        <v>0.2</v>
      </c>
      <c r="K78" s="299">
        <f t="shared" si="6"/>
        <v>374320.38</v>
      </c>
    </row>
    <row r="79" spans="1:11">
      <c r="A79" s="301">
        <v>73</v>
      </c>
      <c r="B79" s="297" t="str">
        <f>+[5]bl.vend!C177</f>
        <v>univers reklama    tabele</v>
      </c>
      <c r="C79" s="321" t="str">
        <f>+[5]bl.vend!B125</f>
        <v>30.12.09</v>
      </c>
      <c r="D79" s="297" t="s">
        <v>501</v>
      </c>
      <c r="E79" s="319">
        <v>1</v>
      </c>
      <c r="F79" s="299">
        <f t="shared" si="5"/>
        <v>270600</v>
      </c>
      <c r="G79" s="299">
        <f>+[5]bl.vend!E125</f>
        <v>270600</v>
      </c>
      <c r="H79" s="303">
        <v>54120</v>
      </c>
      <c r="I79" s="299">
        <f t="shared" si="7"/>
        <v>216480</v>
      </c>
      <c r="J79" s="304">
        <v>0.2</v>
      </c>
      <c r="K79" s="299">
        <f t="shared" si="6"/>
        <v>43296</v>
      </c>
    </row>
    <row r="80" spans="1:11">
      <c r="A80" s="301">
        <v>74</v>
      </c>
      <c r="B80" s="297" t="str">
        <f>+[5]bl.vend!C126</f>
        <v>praktiker</v>
      </c>
      <c r="C80" s="298"/>
      <c r="D80" s="297" t="s">
        <v>501</v>
      </c>
      <c r="E80" s="319">
        <v>1</v>
      </c>
      <c r="F80" s="299">
        <f t="shared" si="5"/>
        <v>57833.33</v>
      </c>
      <c r="G80" s="299">
        <f>+[5]bl.vend!D186</f>
        <v>57833.33</v>
      </c>
      <c r="H80" s="303">
        <v>11567</v>
      </c>
      <c r="I80" s="299">
        <f t="shared" si="7"/>
        <v>46266.33</v>
      </c>
      <c r="J80" s="304">
        <v>0.2</v>
      </c>
      <c r="K80" s="299">
        <f t="shared" si="6"/>
        <v>9253.2660000000014</v>
      </c>
    </row>
    <row r="81" spans="1:11">
      <c r="A81" s="301">
        <v>75</v>
      </c>
      <c r="B81" s="297" t="str">
        <f>+[5]imp.09!E53</f>
        <v>makine per mbjellje basri</v>
      </c>
      <c r="C81" s="298" t="str">
        <f>+[5]imp.09!B53</f>
        <v>05.09.09</v>
      </c>
      <c r="D81" s="297" t="s">
        <v>501</v>
      </c>
      <c r="E81" s="319">
        <v>1</v>
      </c>
      <c r="F81" s="299">
        <f t="shared" si="5"/>
        <v>0</v>
      </c>
      <c r="G81" s="299"/>
      <c r="H81" s="303">
        <v>0</v>
      </c>
      <c r="I81" s="299">
        <f t="shared" si="7"/>
        <v>0</v>
      </c>
      <c r="J81" s="304">
        <v>0.2</v>
      </c>
      <c r="K81" s="299">
        <f t="shared" si="6"/>
        <v>0</v>
      </c>
    </row>
    <row r="82" spans="1:11">
      <c r="A82" s="301">
        <v>76</v>
      </c>
      <c r="B82" s="297" t="str">
        <f>+[5]imp.09!E60</f>
        <v>pjese mak.mb.bari  cop</v>
      </c>
      <c r="C82" s="298" t="str">
        <f>+[5]imp.09!B60</f>
        <v>12.09.09</v>
      </c>
      <c r="D82" s="297" t="s">
        <v>501</v>
      </c>
      <c r="E82" s="319">
        <v>1</v>
      </c>
      <c r="F82" s="299">
        <f t="shared" si="5"/>
        <v>170121.01</v>
      </c>
      <c r="G82" s="299">
        <f>+[5]imp.09!N60</f>
        <v>170121.01</v>
      </c>
      <c r="H82" s="303">
        <v>47294</v>
      </c>
      <c r="I82" s="299">
        <f t="shared" si="7"/>
        <v>122827.01000000001</v>
      </c>
      <c r="J82" s="304">
        <v>0.2</v>
      </c>
      <c r="K82" s="299">
        <f t="shared" si="6"/>
        <v>24565.402000000002</v>
      </c>
    </row>
    <row r="83" spans="1:11">
      <c r="A83" s="301">
        <v>77</v>
      </c>
      <c r="B83" s="297" t="str">
        <f>+[5]imp.09!E63</f>
        <v>makine per mbjellje basri</v>
      </c>
      <c r="C83" s="298" t="str">
        <f>+[5]imp.09!B63</f>
        <v>12.09.09</v>
      </c>
      <c r="D83" s="297" t="s">
        <v>501</v>
      </c>
      <c r="E83" s="319">
        <v>1</v>
      </c>
      <c r="F83" s="299">
        <f t="shared" si="5"/>
        <v>1936326</v>
      </c>
      <c r="G83" s="299">
        <f>+[5]imp.09!N63</f>
        <v>1936326</v>
      </c>
      <c r="H83" s="303">
        <v>538298</v>
      </c>
      <c r="I83" s="299">
        <f t="shared" si="7"/>
        <v>1398028</v>
      </c>
      <c r="J83" s="304">
        <v>0.2</v>
      </c>
      <c r="K83" s="299">
        <f t="shared" si="6"/>
        <v>279605.60000000003</v>
      </c>
    </row>
    <row r="84" spans="1:11">
      <c r="A84" s="301">
        <v>78</v>
      </c>
      <c r="B84" s="297" t="str">
        <f>+[5]imp.09!E71</f>
        <v>mak perd.mbj.bari</v>
      </c>
      <c r="C84" s="298" t="str">
        <f>+[5]imp.09!B71</f>
        <v>16.09.09</v>
      </c>
      <c r="D84" s="297" t="s">
        <v>501</v>
      </c>
      <c r="E84" s="319">
        <v>1</v>
      </c>
      <c r="F84" s="299">
        <f t="shared" si="5"/>
        <v>615678</v>
      </c>
      <c r="G84" s="299">
        <f>+[5]imp.09!N71</f>
        <v>615678</v>
      </c>
      <c r="H84" s="303">
        <v>171159</v>
      </c>
      <c r="I84" s="299">
        <f t="shared" si="7"/>
        <v>444519</v>
      </c>
      <c r="J84" s="304">
        <v>0.2</v>
      </c>
      <c r="K84" s="299">
        <f t="shared" si="6"/>
        <v>88903.8</v>
      </c>
    </row>
    <row r="85" spans="1:11">
      <c r="A85" s="301">
        <v>79</v>
      </c>
      <c r="B85" s="297" t="str">
        <f>+[5]imp.09!E72</f>
        <v>makine per mbjellje basri</v>
      </c>
      <c r="C85" s="298" t="s">
        <v>574</v>
      </c>
      <c r="D85" s="297" t="s">
        <v>501</v>
      </c>
      <c r="E85" s="319">
        <v>1</v>
      </c>
      <c r="F85" s="299">
        <f t="shared" si="5"/>
        <v>3981381</v>
      </c>
      <c r="G85" s="299">
        <f>+[5]imp.09!N72</f>
        <v>3981381</v>
      </c>
      <c r="H85" s="303">
        <v>955531</v>
      </c>
      <c r="I85" s="299">
        <f t="shared" si="7"/>
        <v>3025850</v>
      </c>
      <c r="J85" s="304">
        <v>0.2</v>
      </c>
      <c r="K85" s="299">
        <f t="shared" si="6"/>
        <v>605170</v>
      </c>
    </row>
    <row r="86" spans="1:11">
      <c r="A86" s="301">
        <v>80</v>
      </c>
      <c r="B86" s="297" t="str">
        <f>+[5]bl.vend!C184</f>
        <v xml:space="preserve">kmpjutri turit </v>
      </c>
      <c r="C86" s="298"/>
      <c r="D86" s="297" t="s">
        <v>501</v>
      </c>
      <c r="E86" s="319">
        <v>1</v>
      </c>
      <c r="F86" s="299">
        <f t="shared" si="5"/>
        <v>41667</v>
      </c>
      <c r="G86" s="299">
        <f>+[5]bl.vend!D184</f>
        <v>41667</v>
      </c>
      <c r="H86" s="299">
        <v>10417</v>
      </c>
      <c r="I86" s="299">
        <f t="shared" si="7"/>
        <v>31250</v>
      </c>
      <c r="J86" s="300">
        <v>0.25</v>
      </c>
      <c r="K86" s="299">
        <f t="shared" si="6"/>
        <v>7812.5</v>
      </c>
    </row>
    <row r="87" spans="1:11">
      <c r="A87" s="301">
        <v>81</v>
      </c>
      <c r="B87" s="322" t="str">
        <f>+[5]llog.370!H118</f>
        <v>Pompa 2P</v>
      </c>
      <c r="C87" s="298">
        <v>2007</v>
      </c>
      <c r="D87" s="297" t="s">
        <v>501</v>
      </c>
      <c r="E87" s="319">
        <v>1</v>
      </c>
      <c r="F87" s="299">
        <v>116151</v>
      </c>
      <c r="G87" s="299">
        <f>+[5]llog.370!G118</f>
        <v>116150.98</v>
      </c>
      <c r="H87" s="303">
        <v>60398</v>
      </c>
      <c r="I87" s="299">
        <f t="shared" si="7"/>
        <v>55752.979999999996</v>
      </c>
      <c r="J87" s="304">
        <v>0.2</v>
      </c>
      <c r="K87" s="299">
        <f t="shared" si="6"/>
        <v>11150.596</v>
      </c>
    </row>
    <row r="88" spans="1:11">
      <c r="A88" s="301">
        <v>82</v>
      </c>
      <c r="B88" s="297" t="str">
        <f>+'[5]inv mj.k 2009'!B75</f>
        <v>shperndares dheu   cop</v>
      </c>
      <c r="C88" s="298"/>
      <c r="D88" s="297" t="s">
        <v>501</v>
      </c>
      <c r="E88" s="297">
        <v>1</v>
      </c>
      <c r="F88" s="299">
        <f>+'[5]inv mj.k 2009'!F75</f>
        <v>67039</v>
      </c>
      <c r="G88" s="299">
        <f>+'[5]inv mj.k 2009'!G75</f>
        <v>67039</v>
      </c>
      <c r="H88" s="303">
        <v>34859</v>
      </c>
      <c r="I88" s="299">
        <f t="shared" si="7"/>
        <v>32180</v>
      </c>
      <c r="J88" s="304">
        <v>0.2</v>
      </c>
      <c r="K88" s="299">
        <f t="shared" si="6"/>
        <v>6436</v>
      </c>
    </row>
    <row r="89" spans="1:11">
      <c r="A89" s="301">
        <v>83</v>
      </c>
      <c r="B89" s="297" t="str">
        <f>+'[6]blerjet 2010'!H327</f>
        <v>kasa</v>
      </c>
      <c r="C89" s="323" t="str">
        <f>+'[6]blerjet 2010'!C232</f>
        <v>12.02.2010</v>
      </c>
      <c r="D89" s="297" t="s">
        <v>501</v>
      </c>
      <c r="E89" s="297">
        <v>1</v>
      </c>
      <c r="F89" s="299">
        <f>+'[6]blerjet 2010'!E327</f>
        <v>34050</v>
      </c>
      <c r="G89" s="299">
        <f>+F89</f>
        <v>34050</v>
      </c>
      <c r="H89" s="303">
        <v>12258</v>
      </c>
      <c r="I89" s="299">
        <f t="shared" si="7"/>
        <v>21792</v>
      </c>
      <c r="J89" s="304">
        <v>0.2</v>
      </c>
      <c r="K89" s="299">
        <f t="shared" si="6"/>
        <v>4358.4000000000005</v>
      </c>
    </row>
    <row r="90" spans="1:11">
      <c r="A90" s="301">
        <v>84</v>
      </c>
      <c r="B90" s="297" t="str">
        <f>+'[6]blerjet 2010'!D329</f>
        <v>kompjuter turi</v>
      </c>
      <c r="C90" s="298" t="s">
        <v>575</v>
      </c>
      <c r="D90" s="297" t="s">
        <v>501</v>
      </c>
      <c r="E90" s="297">
        <v>1</v>
      </c>
      <c r="F90" s="299">
        <f>+'[6]blerjet 2010'!E329</f>
        <v>154210</v>
      </c>
      <c r="G90" s="299">
        <f>+F90</f>
        <v>154210</v>
      </c>
      <c r="H90" s="303">
        <v>62648</v>
      </c>
      <c r="I90" s="299">
        <f t="shared" si="7"/>
        <v>91562</v>
      </c>
      <c r="J90" s="304">
        <v>0.25</v>
      </c>
      <c r="K90" s="299">
        <f t="shared" si="6"/>
        <v>22890.5</v>
      </c>
    </row>
    <row r="91" spans="1:11">
      <c r="A91" s="301">
        <v>85</v>
      </c>
      <c r="B91" s="297" t="str">
        <f>+'[6]blerjet 2010'!H330</f>
        <v>sistemi  kamer vezhgimi</v>
      </c>
      <c r="C91" s="298" t="str">
        <f>+'[6]blerjet 2010'!C148</f>
        <v>26.06.2010</v>
      </c>
      <c r="D91" s="297" t="s">
        <v>501</v>
      </c>
      <c r="E91" s="297">
        <v>1</v>
      </c>
      <c r="F91" s="299">
        <f>+'[6]blerjet 2010'!E330</f>
        <v>295783</v>
      </c>
      <c r="G91" s="299">
        <f>+F91</f>
        <v>295783</v>
      </c>
      <c r="H91" s="303">
        <v>78876</v>
      </c>
      <c r="I91" s="299">
        <f t="shared" si="7"/>
        <v>216907</v>
      </c>
      <c r="J91" s="304">
        <v>0.2</v>
      </c>
      <c r="K91" s="299">
        <f t="shared" si="6"/>
        <v>43381.4</v>
      </c>
    </row>
    <row r="92" spans="1:11">
      <c r="A92" s="301">
        <v>86</v>
      </c>
      <c r="B92" s="297" t="str">
        <f>+'[6]blerjet 2010'!H341</f>
        <v>kompjuter +……..</v>
      </c>
      <c r="C92" s="323" t="s">
        <v>576</v>
      </c>
      <c r="D92" s="297" t="s">
        <v>501</v>
      </c>
      <c r="E92" s="297">
        <v>1</v>
      </c>
      <c r="F92" s="299">
        <f>+[6]bl.vend!E101</f>
        <v>24025</v>
      </c>
      <c r="G92" s="299">
        <f>+F92</f>
        <v>24025</v>
      </c>
      <c r="H92" s="303">
        <v>6757</v>
      </c>
      <c r="I92" s="299">
        <f t="shared" si="7"/>
        <v>17268</v>
      </c>
      <c r="J92" s="304">
        <v>0.25</v>
      </c>
      <c r="K92" s="299">
        <f t="shared" si="6"/>
        <v>4317</v>
      </c>
    </row>
    <row r="93" spans="1:11">
      <c r="A93" s="301">
        <v>87</v>
      </c>
      <c r="B93" s="297" t="str">
        <f>+[6]bl.vend!D364</f>
        <v>stufa alogenia solaria</v>
      </c>
      <c r="C93" s="298" t="str">
        <f>+[6]bl.vend!B364</f>
        <v>11.12.10</v>
      </c>
      <c r="D93" s="297" t="s">
        <v>501</v>
      </c>
      <c r="E93" s="297">
        <v>1</v>
      </c>
      <c r="F93" s="299">
        <f>+[6]bl.vend!E364</f>
        <v>6733</v>
      </c>
      <c r="G93" s="299">
        <f>+F93</f>
        <v>6733</v>
      </c>
      <c r="H93" s="303">
        <v>1347</v>
      </c>
      <c r="I93" s="299">
        <f t="shared" si="7"/>
        <v>5386</v>
      </c>
      <c r="J93" s="304">
        <v>0.2</v>
      </c>
      <c r="K93" s="299">
        <f t="shared" si="6"/>
        <v>1077.2</v>
      </c>
    </row>
    <row r="94" spans="1:11">
      <c r="A94" s="301">
        <v>88</v>
      </c>
      <c r="B94" s="298" t="s">
        <v>577</v>
      </c>
      <c r="C94" s="324" t="s">
        <v>578</v>
      </c>
      <c r="D94" s="297" t="s">
        <v>501</v>
      </c>
      <c r="E94" s="298">
        <v>2</v>
      </c>
      <c r="F94" s="299">
        <v>140000</v>
      </c>
      <c r="G94" s="299">
        <f>+F94*E94</f>
        <v>280000</v>
      </c>
      <c r="H94" s="303">
        <v>28000</v>
      </c>
      <c r="I94" s="299">
        <f t="shared" si="7"/>
        <v>252000</v>
      </c>
      <c r="J94" s="304">
        <v>0.2</v>
      </c>
      <c r="K94" s="299">
        <f t="shared" si="6"/>
        <v>50400</v>
      </c>
    </row>
    <row r="95" spans="1:11" ht="15.75">
      <c r="A95" s="301">
        <v>89</v>
      </c>
      <c r="B95" s="298" t="s">
        <v>579</v>
      </c>
      <c r="C95" s="325" t="s">
        <v>580</v>
      </c>
      <c r="D95" s="297" t="s">
        <v>501</v>
      </c>
      <c r="E95" s="298">
        <v>2</v>
      </c>
      <c r="F95" s="299">
        <f>1820*141.8</f>
        <v>258076.00000000003</v>
      </c>
      <c r="G95" s="299">
        <f t="shared" ref="G95:G154" si="8">+F95*E95</f>
        <v>516152.00000000006</v>
      </c>
      <c r="H95" s="303">
        <v>51615</v>
      </c>
      <c r="I95" s="299">
        <f t="shared" si="7"/>
        <v>464537.00000000006</v>
      </c>
      <c r="J95" s="304">
        <v>0.2</v>
      </c>
      <c r="K95" s="299">
        <f t="shared" si="6"/>
        <v>92907.400000000023</v>
      </c>
    </row>
    <row r="96" spans="1:11">
      <c r="A96" s="301">
        <v>90</v>
      </c>
      <c r="B96" s="298" t="s">
        <v>581</v>
      </c>
      <c r="C96" s="326" t="s">
        <v>582</v>
      </c>
      <c r="D96" s="297" t="s">
        <v>501</v>
      </c>
      <c r="E96" s="298">
        <v>1</v>
      </c>
      <c r="F96" s="299">
        <f>18250*140.19</f>
        <v>2558467.5</v>
      </c>
      <c r="G96" s="299">
        <f t="shared" si="8"/>
        <v>2558467.5</v>
      </c>
      <c r="H96" s="303">
        <v>255847</v>
      </c>
      <c r="I96" s="299">
        <f t="shared" si="7"/>
        <v>2302620.5</v>
      </c>
      <c r="J96" s="304">
        <v>0.2</v>
      </c>
      <c r="K96" s="299">
        <f t="shared" si="6"/>
        <v>460524.10000000003</v>
      </c>
    </row>
    <row r="97" spans="1:11">
      <c r="A97" s="301">
        <v>91</v>
      </c>
      <c r="B97" s="298" t="s">
        <v>583</v>
      </c>
      <c r="C97" s="326" t="s">
        <v>582</v>
      </c>
      <c r="D97" s="297" t="s">
        <v>501</v>
      </c>
      <c r="E97" s="298">
        <v>1</v>
      </c>
      <c r="F97" s="299">
        <f>11768*140.19</f>
        <v>1649755.92</v>
      </c>
      <c r="G97" s="299">
        <f t="shared" si="8"/>
        <v>1649755.92</v>
      </c>
      <c r="H97" s="303">
        <v>164976</v>
      </c>
      <c r="I97" s="299">
        <f t="shared" si="7"/>
        <v>1484779.92</v>
      </c>
      <c r="J97" s="304">
        <v>0.2</v>
      </c>
      <c r="K97" s="299">
        <f t="shared" si="6"/>
        <v>296955.984</v>
      </c>
    </row>
    <row r="98" spans="1:11">
      <c r="A98" s="301">
        <v>93</v>
      </c>
      <c r="B98" s="298" t="s">
        <v>584</v>
      </c>
      <c r="C98" s="324" t="s">
        <v>585</v>
      </c>
      <c r="D98" s="297" t="s">
        <v>501</v>
      </c>
      <c r="E98" s="298">
        <v>1</v>
      </c>
      <c r="F98" s="299">
        <v>36000</v>
      </c>
      <c r="G98" s="299">
        <f t="shared" si="8"/>
        <v>36000</v>
      </c>
      <c r="H98" s="303">
        <v>2400</v>
      </c>
      <c r="I98" s="299">
        <f t="shared" si="7"/>
        <v>33600</v>
      </c>
      <c r="J98" s="304">
        <v>0.2</v>
      </c>
      <c r="K98" s="299">
        <f t="shared" si="6"/>
        <v>6720</v>
      </c>
    </row>
    <row r="99" spans="1:11">
      <c r="A99" s="301">
        <v>94</v>
      </c>
      <c r="B99" s="298" t="s">
        <v>586</v>
      </c>
      <c r="C99" s="324" t="s">
        <v>587</v>
      </c>
      <c r="D99" s="297" t="s">
        <v>501</v>
      </c>
      <c r="E99" s="298">
        <v>1</v>
      </c>
      <c r="F99" s="299">
        <v>140000</v>
      </c>
      <c r="G99" s="299">
        <f t="shared" si="8"/>
        <v>140000</v>
      </c>
      <c r="H99" s="303">
        <v>9333</v>
      </c>
      <c r="I99" s="299">
        <f t="shared" si="7"/>
        <v>130667</v>
      </c>
      <c r="J99" s="304">
        <v>0.2</v>
      </c>
      <c r="K99" s="299">
        <f t="shared" si="6"/>
        <v>26133.4</v>
      </c>
    </row>
    <row r="100" spans="1:11">
      <c r="A100" s="301">
        <v>95</v>
      </c>
      <c r="B100" s="298" t="s">
        <v>588</v>
      </c>
      <c r="C100" s="326" t="s">
        <v>589</v>
      </c>
      <c r="D100" s="297" t="s">
        <v>501</v>
      </c>
      <c r="E100" s="298">
        <v>1</v>
      </c>
      <c r="F100" s="299">
        <v>25242</v>
      </c>
      <c r="G100" s="299">
        <f t="shared" si="8"/>
        <v>25242</v>
      </c>
      <c r="H100" s="303">
        <v>1683</v>
      </c>
      <c r="I100" s="299">
        <f t="shared" si="7"/>
        <v>23559</v>
      </c>
      <c r="J100" s="304">
        <v>0.2</v>
      </c>
      <c r="K100" s="299">
        <f t="shared" si="6"/>
        <v>4711.8</v>
      </c>
    </row>
    <row r="101" spans="1:11">
      <c r="A101" s="301">
        <v>96</v>
      </c>
      <c r="B101" s="298" t="s">
        <v>590</v>
      </c>
      <c r="C101" s="326" t="s">
        <v>591</v>
      </c>
      <c r="D101" s="297" t="s">
        <v>501</v>
      </c>
      <c r="E101" s="298">
        <v>1</v>
      </c>
      <c r="F101" s="299">
        <v>17500</v>
      </c>
      <c r="G101" s="299">
        <f t="shared" si="8"/>
        <v>17500</v>
      </c>
      <c r="H101" s="303">
        <v>1167</v>
      </c>
      <c r="I101" s="299">
        <f t="shared" si="7"/>
        <v>16333</v>
      </c>
      <c r="J101" s="304">
        <v>0.2</v>
      </c>
      <c r="K101" s="299">
        <f t="shared" si="6"/>
        <v>3266.6000000000004</v>
      </c>
    </row>
    <row r="102" spans="1:11">
      <c r="A102" s="301">
        <v>97</v>
      </c>
      <c r="B102" s="298" t="s">
        <v>592</v>
      </c>
      <c r="C102" s="324" t="s">
        <v>593</v>
      </c>
      <c r="D102" s="297" t="s">
        <v>501</v>
      </c>
      <c r="E102" s="298">
        <v>1</v>
      </c>
      <c r="F102" s="299">
        <v>34200</v>
      </c>
      <c r="G102" s="299">
        <f t="shared" si="8"/>
        <v>34200</v>
      </c>
      <c r="H102" s="303">
        <v>1710</v>
      </c>
      <c r="I102" s="299">
        <f t="shared" si="7"/>
        <v>32490</v>
      </c>
      <c r="J102" s="304">
        <v>0.2</v>
      </c>
      <c r="K102" s="299">
        <f t="shared" si="6"/>
        <v>6498</v>
      </c>
    </row>
    <row r="103" spans="1:11">
      <c r="A103" s="301">
        <v>92</v>
      </c>
      <c r="B103" s="298" t="s">
        <v>594</v>
      </c>
      <c r="C103" s="324" t="s">
        <v>595</v>
      </c>
      <c r="D103" s="297" t="s">
        <v>501</v>
      </c>
      <c r="E103" s="298">
        <v>3</v>
      </c>
      <c r="F103" s="299">
        <v>21017</v>
      </c>
      <c r="G103" s="299">
        <f>+F103*E103</f>
        <v>63051</v>
      </c>
      <c r="H103" s="303">
        <v>4203</v>
      </c>
      <c r="I103" s="299">
        <f>G103-H103</f>
        <v>58848</v>
      </c>
      <c r="J103" s="304">
        <v>0.2</v>
      </c>
      <c r="K103" s="299">
        <f t="shared" si="6"/>
        <v>11769.6</v>
      </c>
    </row>
    <row r="104" spans="1:11">
      <c r="A104" s="301">
        <v>98</v>
      </c>
      <c r="B104" s="298" t="s">
        <v>596</v>
      </c>
      <c r="C104" s="324" t="s">
        <v>597</v>
      </c>
      <c r="D104" s="297" t="s">
        <v>501</v>
      </c>
      <c r="E104" s="298">
        <v>1</v>
      </c>
      <c r="F104" s="299">
        <v>21058</v>
      </c>
      <c r="G104" s="299">
        <f t="shared" si="8"/>
        <v>21058</v>
      </c>
      <c r="H104" s="303">
        <v>1404</v>
      </c>
      <c r="I104" s="299">
        <f t="shared" si="7"/>
        <v>19654</v>
      </c>
      <c r="J104" s="304">
        <v>0.2</v>
      </c>
      <c r="K104" s="299">
        <f t="shared" si="6"/>
        <v>3930.8</v>
      </c>
    </row>
    <row r="105" spans="1:11">
      <c r="A105" s="301">
        <v>99</v>
      </c>
      <c r="B105" s="298" t="s">
        <v>598</v>
      </c>
      <c r="C105" s="324" t="s">
        <v>597</v>
      </c>
      <c r="D105" s="297" t="s">
        <v>501</v>
      </c>
      <c r="E105" s="298">
        <v>1</v>
      </c>
      <c r="F105" s="299">
        <v>15042</v>
      </c>
      <c r="G105" s="299">
        <f t="shared" si="8"/>
        <v>15042</v>
      </c>
      <c r="H105" s="303">
        <v>752</v>
      </c>
      <c r="I105" s="299">
        <f t="shared" si="7"/>
        <v>14290</v>
      </c>
      <c r="J105" s="304">
        <v>0.2</v>
      </c>
      <c r="K105" s="299">
        <f t="shared" si="6"/>
        <v>2858</v>
      </c>
    </row>
    <row r="106" spans="1:11">
      <c r="A106" s="301">
        <v>100</v>
      </c>
      <c r="B106" s="298" t="s">
        <v>599</v>
      </c>
      <c r="C106" s="324" t="s">
        <v>597</v>
      </c>
      <c r="D106" s="297" t="s">
        <v>501</v>
      </c>
      <c r="E106" s="298">
        <v>1</v>
      </c>
      <c r="F106" s="299">
        <v>3760</v>
      </c>
      <c r="G106" s="299">
        <f t="shared" si="8"/>
        <v>3760</v>
      </c>
      <c r="H106" s="303">
        <v>188</v>
      </c>
      <c r="I106" s="299">
        <f t="shared" si="7"/>
        <v>3572</v>
      </c>
      <c r="J106" s="304">
        <v>0.2</v>
      </c>
      <c r="K106" s="299">
        <f t="shared" si="6"/>
        <v>714.40000000000009</v>
      </c>
    </row>
    <row r="107" spans="1:11">
      <c r="A107" s="301">
        <v>101</v>
      </c>
      <c r="B107" s="298" t="s">
        <v>600</v>
      </c>
      <c r="C107" s="324" t="s">
        <v>597</v>
      </c>
      <c r="D107" s="297" t="s">
        <v>501</v>
      </c>
      <c r="E107" s="298">
        <v>10</v>
      </c>
      <c r="F107" s="299">
        <v>3384</v>
      </c>
      <c r="G107" s="299">
        <f t="shared" si="8"/>
        <v>33840</v>
      </c>
      <c r="H107" s="303">
        <v>1692</v>
      </c>
      <c r="I107" s="299">
        <f t="shared" si="7"/>
        <v>32148</v>
      </c>
      <c r="J107" s="304">
        <v>0.2</v>
      </c>
      <c r="K107" s="299">
        <f t="shared" si="6"/>
        <v>6429.6</v>
      </c>
    </row>
    <row r="108" spans="1:11">
      <c r="A108" s="301">
        <v>102</v>
      </c>
      <c r="B108" s="298" t="s">
        <v>601</v>
      </c>
      <c r="C108" s="324" t="s">
        <v>597</v>
      </c>
      <c r="D108" s="297" t="s">
        <v>501</v>
      </c>
      <c r="E108" s="298">
        <v>1</v>
      </c>
      <c r="F108" s="299">
        <v>24067</v>
      </c>
      <c r="G108" s="299">
        <f t="shared" si="8"/>
        <v>24067</v>
      </c>
      <c r="H108" s="303">
        <v>1203</v>
      </c>
      <c r="I108" s="299">
        <f t="shared" si="7"/>
        <v>22864</v>
      </c>
      <c r="J108" s="304">
        <v>0.2</v>
      </c>
      <c r="K108" s="299">
        <f t="shared" si="6"/>
        <v>4572.8</v>
      </c>
    </row>
    <row r="109" spans="1:11">
      <c r="A109" s="301">
        <v>103</v>
      </c>
      <c r="B109" s="298" t="s">
        <v>601</v>
      </c>
      <c r="C109" s="324" t="s">
        <v>597</v>
      </c>
      <c r="D109" s="297" t="s">
        <v>501</v>
      </c>
      <c r="E109" s="298">
        <v>1</v>
      </c>
      <c r="F109" s="299">
        <v>12785</v>
      </c>
      <c r="G109" s="299">
        <f t="shared" si="8"/>
        <v>12785</v>
      </c>
      <c r="H109" s="303">
        <v>639</v>
      </c>
      <c r="I109" s="299">
        <f t="shared" si="7"/>
        <v>12146</v>
      </c>
      <c r="J109" s="304">
        <v>0.2</v>
      </c>
      <c r="K109" s="299">
        <f t="shared" si="6"/>
        <v>2429.2000000000003</v>
      </c>
    </row>
    <row r="110" spans="1:11">
      <c r="A110" s="301">
        <v>104</v>
      </c>
      <c r="B110" s="298" t="s">
        <v>596</v>
      </c>
      <c r="C110" s="324" t="s">
        <v>597</v>
      </c>
      <c r="D110" s="297" t="s">
        <v>501</v>
      </c>
      <c r="E110" s="298">
        <v>1</v>
      </c>
      <c r="F110" s="299">
        <v>21058</v>
      </c>
      <c r="G110" s="299">
        <f t="shared" si="8"/>
        <v>21058</v>
      </c>
      <c r="H110" s="303">
        <v>1053</v>
      </c>
      <c r="I110" s="299">
        <f t="shared" si="7"/>
        <v>20005</v>
      </c>
      <c r="J110" s="304">
        <v>0.2</v>
      </c>
      <c r="K110" s="299">
        <f t="shared" si="6"/>
        <v>4001</v>
      </c>
    </row>
    <row r="111" spans="1:11">
      <c r="A111" s="301">
        <v>105</v>
      </c>
      <c r="B111" s="298" t="s">
        <v>602</v>
      </c>
      <c r="C111" s="324" t="s">
        <v>597</v>
      </c>
      <c r="D111" s="297" t="s">
        <v>501</v>
      </c>
      <c r="E111" s="298">
        <v>1</v>
      </c>
      <c r="F111" s="299">
        <v>15042</v>
      </c>
      <c r="G111" s="299">
        <f t="shared" si="8"/>
        <v>15042</v>
      </c>
      <c r="H111" s="303">
        <v>752</v>
      </c>
      <c r="I111" s="299">
        <f t="shared" si="7"/>
        <v>14290</v>
      </c>
      <c r="J111" s="304">
        <v>0.2</v>
      </c>
      <c r="K111" s="299">
        <f t="shared" si="6"/>
        <v>2858</v>
      </c>
    </row>
    <row r="112" spans="1:11">
      <c r="A112" s="301">
        <v>106</v>
      </c>
      <c r="B112" s="298" t="s">
        <v>599</v>
      </c>
      <c r="C112" s="324" t="s">
        <v>597</v>
      </c>
      <c r="D112" s="297" t="s">
        <v>501</v>
      </c>
      <c r="E112" s="298">
        <v>1</v>
      </c>
      <c r="F112" s="299">
        <v>3760</v>
      </c>
      <c r="G112" s="299">
        <f t="shared" si="8"/>
        <v>3760</v>
      </c>
      <c r="H112" s="303">
        <v>188</v>
      </c>
      <c r="I112" s="299">
        <f t="shared" si="7"/>
        <v>3572</v>
      </c>
      <c r="J112" s="304">
        <v>0.2</v>
      </c>
      <c r="K112" s="299">
        <f t="shared" si="6"/>
        <v>714.40000000000009</v>
      </c>
    </row>
    <row r="113" spans="1:11">
      <c r="A113" s="301">
        <v>107</v>
      </c>
      <c r="B113" s="298" t="s">
        <v>603</v>
      </c>
      <c r="C113" s="324" t="s">
        <v>597</v>
      </c>
      <c r="D113" s="297" t="s">
        <v>501</v>
      </c>
      <c r="E113" s="298">
        <v>1</v>
      </c>
      <c r="F113" s="299">
        <v>13537</v>
      </c>
      <c r="G113" s="299">
        <f t="shared" si="8"/>
        <v>13537</v>
      </c>
      <c r="H113" s="303">
        <v>677</v>
      </c>
      <c r="I113" s="299">
        <f t="shared" si="7"/>
        <v>12860</v>
      </c>
      <c r="J113" s="304">
        <v>0.2</v>
      </c>
      <c r="K113" s="299">
        <f t="shared" si="6"/>
        <v>2572</v>
      </c>
    </row>
    <row r="114" spans="1:11">
      <c r="A114" s="301">
        <v>108</v>
      </c>
      <c r="B114" s="298" t="s">
        <v>604</v>
      </c>
      <c r="C114" s="324" t="s">
        <v>597</v>
      </c>
      <c r="D114" s="297" t="s">
        <v>501</v>
      </c>
      <c r="E114" s="298">
        <v>5</v>
      </c>
      <c r="F114" s="299">
        <v>12785.4</v>
      </c>
      <c r="G114" s="299">
        <f t="shared" si="8"/>
        <v>63927</v>
      </c>
      <c r="H114" s="303">
        <v>3196</v>
      </c>
      <c r="I114" s="299">
        <f t="shared" si="7"/>
        <v>60731</v>
      </c>
      <c r="J114" s="304">
        <v>0.2</v>
      </c>
      <c r="K114" s="299">
        <f t="shared" si="6"/>
        <v>12146.2</v>
      </c>
    </row>
    <row r="115" spans="1:11">
      <c r="A115" s="301">
        <v>111</v>
      </c>
      <c r="B115" s="298" t="s">
        <v>603</v>
      </c>
      <c r="C115" s="324" t="s">
        <v>605</v>
      </c>
      <c r="D115" s="297" t="s">
        <v>501</v>
      </c>
      <c r="E115" s="298">
        <v>1</v>
      </c>
      <c r="F115" s="299">
        <v>13537</v>
      </c>
      <c r="G115" s="299">
        <f t="shared" si="8"/>
        <v>13537</v>
      </c>
      <c r="H115" s="303">
        <v>451</v>
      </c>
      <c r="I115" s="299">
        <f t="shared" si="7"/>
        <v>13086</v>
      </c>
      <c r="J115" s="304">
        <v>0.2</v>
      </c>
      <c r="K115" s="299">
        <f t="shared" si="6"/>
        <v>2617.2000000000003</v>
      </c>
    </row>
    <row r="116" spans="1:11">
      <c r="A116" s="301">
        <v>112</v>
      </c>
      <c r="B116" s="298" t="s">
        <v>606</v>
      </c>
      <c r="C116" s="324" t="s">
        <v>605</v>
      </c>
      <c r="D116" s="297" t="s">
        <v>501</v>
      </c>
      <c r="E116" s="298">
        <v>1</v>
      </c>
      <c r="F116" s="299">
        <v>36100</v>
      </c>
      <c r="G116" s="299">
        <f t="shared" si="8"/>
        <v>36100</v>
      </c>
      <c r="H116" s="303">
        <v>1203</v>
      </c>
      <c r="I116" s="299">
        <f t="shared" si="7"/>
        <v>34897</v>
      </c>
      <c r="J116" s="304">
        <v>0.2</v>
      </c>
      <c r="K116" s="299">
        <f t="shared" si="6"/>
        <v>6979.4000000000005</v>
      </c>
    </row>
    <row r="117" spans="1:11">
      <c r="A117" s="301">
        <v>113</v>
      </c>
      <c r="B117" s="298" t="s">
        <v>607</v>
      </c>
      <c r="C117" s="324" t="s">
        <v>605</v>
      </c>
      <c r="D117" s="297" t="s">
        <v>501</v>
      </c>
      <c r="E117" s="298">
        <v>2</v>
      </c>
      <c r="F117" s="299">
        <v>12785</v>
      </c>
      <c r="G117" s="299">
        <f t="shared" si="8"/>
        <v>25570</v>
      </c>
      <c r="H117" s="303">
        <v>852</v>
      </c>
      <c r="I117" s="299">
        <f t="shared" si="7"/>
        <v>24718</v>
      </c>
      <c r="J117" s="304">
        <v>0.2</v>
      </c>
      <c r="K117" s="299">
        <f t="shared" si="6"/>
        <v>4943.6000000000004</v>
      </c>
    </row>
    <row r="118" spans="1:11">
      <c r="A118" s="301">
        <v>114</v>
      </c>
      <c r="B118" s="298" t="s">
        <v>608</v>
      </c>
      <c r="C118" s="324" t="s">
        <v>605</v>
      </c>
      <c r="D118" s="297" t="s">
        <v>501</v>
      </c>
      <c r="E118" s="298">
        <v>2</v>
      </c>
      <c r="F118" s="299">
        <v>36100</v>
      </c>
      <c r="G118" s="299">
        <f t="shared" si="8"/>
        <v>72200</v>
      </c>
      <c r="H118" s="303">
        <v>2407</v>
      </c>
      <c r="I118" s="299">
        <f t="shared" si="7"/>
        <v>69793</v>
      </c>
      <c r="J118" s="304">
        <v>0.2</v>
      </c>
      <c r="K118" s="299">
        <f t="shared" si="6"/>
        <v>13958.6</v>
      </c>
    </row>
    <row r="119" spans="1:11">
      <c r="A119" s="301">
        <v>109</v>
      </c>
      <c r="B119" s="298" t="s">
        <v>507</v>
      </c>
      <c r="C119" s="326" t="s">
        <v>609</v>
      </c>
      <c r="D119" s="297" t="s">
        <v>501</v>
      </c>
      <c r="E119" s="298">
        <v>1</v>
      </c>
      <c r="F119" s="299">
        <f>10753*141.12</f>
        <v>1517463.36</v>
      </c>
      <c r="G119" s="299">
        <f>+F119*E119</f>
        <v>1517463.36</v>
      </c>
      <c r="H119" s="303">
        <v>75873</v>
      </c>
      <c r="I119" s="299">
        <f>G119-H119</f>
        <v>1441590.36</v>
      </c>
      <c r="J119" s="304">
        <v>0.2</v>
      </c>
      <c r="K119" s="299">
        <f t="shared" si="6"/>
        <v>288318.07200000004</v>
      </c>
    </row>
    <row r="120" spans="1:11">
      <c r="A120" s="301">
        <v>115</v>
      </c>
      <c r="B120" s="298" t="s">
        <v>610</v>
      </c>
      <c r="C120" s="324" t="s">
        <v>611</v>
      </c>
      <c r="D120" s="297" t="s">
        <v>501</v>
      </c>
      <c r="E120" s="298">
        <v>1</v>
      </c>
      <c r="F120" s="299">
        <v>79000</v>
      </c>
      <c r="G120" s="299">
        <f t="shared" si="8"/>
        <v>79000</v>
      </c>
      <c r="H120" s="303">
        <v>1317</v>
      </c>
      <c r="I120" s="299">
        <f t="shared" si="7"/>
        <v>77683</v>
      </c>
      <c r="J120" s="304">
        <v>0.2</v>
      </c>
      <c r="K120" s="299">
        <f t="shared" si="6"/>
        <v>15536.6</v>
      </c>
    </row>
    <row r="121" spans="1:11">
      <c r="A121" s="301">
        <v>116</v>
      </c>
      <c r="B121" s="298" t="s">
        <v>612</v>
      </c>
      <c r="C121" s="324" t="s">
        <v>613</v>
      </c>
      <c r="D121" s="297" t="s">
        <v>501</v>
      </c>
      <c r="E121" s="298">
        <v>1</v>
      </c>
      <c r="F121" s="299">
        <v>1406795</v>
      </c>
      <c r="G121" s="299">
        <f t="shared" si="8"/>
        <v>1406795</v>
      </c>
      <c r="H121" s="303">
        <v>23447</v>
      </c>
      <c r="I121" s="299">
        <f t="shared" si="7"/>
        <v>1383348</v>
      </c>
      <c r="J121" s="304">
        <v>0.2</v>
      </c>
      <c r="K121" s="299">
        <f t="shared" si="6"/>
        <v>276669.60000000003</v>
      </c>
    </row>
    <row r="122" spans="1:11">
      <c r="A122" s="301">
        <v>117</v>
      </c>
      <c r="B122" s="298" t="s">
        <v>614</v>
      </c>
      <c r="C122" s="324" t="s">
        <v>613</v>
      </c>
      <c r="D122" s="297" t="s">
        <v>501</v>
      </c>
      <c r="E122" s="298">
        <v>1</v>
      </c>
      <c r="F122" s="299">
        <v>700000</v>
      </c>
      <c r="G122" s="299">
        <f t="shared" si="8"/>
        <v>700000</v>
      </c>
      <c r="H122" s="303">
        <v>11667</v>
      </c>
      <c r="I122" s="299">
        <f t="shared" si="7"/>
        <v>688333</v>
      </c>
      <c r="J122" s="304">
        <v>0.2</v>
      </c>
      <c r="K122" s="299">
        <f t="shared" si="6"/>
        <v>137666.6</v>
      </c>
    </row>
    <row r="123" spans="1:11">
      <c r="A123" s="301">
        <v>118</v>
      </c>
      <c r="B123" s="298" t="s">
        <v>615</v>
      </c>
      <c r="C123" s="324" t="s">
        <v>616</v>
      </c>
      <c r="D123" s="297" t="s">
        <v>501</v>
      </c>
      <c r="E123" s="298">
        <v>1</v>
      </c>
      <c r="F123" s="299">
        <v>561960</v>
      </c>
      <c r="G123" s="299">
        <f t="shared" si="8"/>
        <v>561960</v>
      </c>
      <c r="H123" s="303">
        <v>9366</v>
      </c>
      <c r="I123" s="299">
        <f t="shared" si="7"/>
        <v>552594</v>
      </c>
      <c r="J123" s="304">
        <v>0.2</v>
      </c>
      <c r="K123" s="299">
        <f t="shared" si="6"/>
        <v>110518.8</v>
      </c>
    </row>
    <row r="124" spans="1:11">
      <c r="A124" s="301">
        <v>119</v>
      </c>
      <c r="B124" s="298" t="s">
        <v>617</v>
      </c>
      <c r="C124" s="324" t="s">
        <v>616</v>
      </c>
      <c r="D124" s="297" t="s">
        <v>501</v>
      </c>
      <c r="E124" s="298">
        <v>1</v>
      </c>
      <c r="F124" s="299">
        <v>561960</v>
      </c>
      <c r="G124" s="299">
        <f t="shared" si="8"/>
        <v>561960</v>
      </c>
      <c r="H124" s="303">
        <v>9366</v>
      </c>
      <c r="I124" s="299">
        <f t="shared" si="7"/>
        <v>552594</v>
      </c>
      <c r="J124" s="304">
        <v>0.2</v>
      </c>
      <c r="K124" s="299">
        <f t="shared" si="6"/>
        <v>110518.8</v>
      </c>
    </row>
    <row r="125" spans="1:11">
      <c r="A125" s="301">
        <v>120</v>
      </c>
      <c r="B125" s="298" t="s">
        <v>618</v>
      </c>
      <c r="C125" s="324" t="s">
        <v>619</v>
      </c>
      <c r="D125" s="297" t="s">
        <v>501</v>
      </c>
      <c r="E125" s="298">
        <v>1</v>
      </c>
      <c r="F125" s="299">
        <f>5833.33*137</f>
        <v>799166.21</v>
      </c>
      <c r="G125" s="299">
        <f t="shared" si="8"/>
        <v>799166.21</v>
      </c>
      <c r="H125" s="303">
        <v>0</v>
      </c>
      <c r="I125" s="299">
        <f t="shared" si="7"/>
        <v>799166.21</v>
      </c>
      <c r="J125" s="304">
        <v>0.2</v>
      </c>
      <c r="K125" s="299">
        <f t="shared" si="6"/>
        <v>159833.242</v>
      </c>
    </row>
    <row r="126" spans="1:11">
      <c r="A126" s="301">
        <v>121</v>
      </c>
      <c r="B126" s="298" t="s">
        <v>581</v>
      </c>
      <c r="C126" s="324" t="s">
        <v>620</v>
      </c>
      <c r="D126" s="297" t="s">
        <v>501</v>
      </c>
      <c r="E126" s="298">
        <v>1</v>
      </c>
      <c r="F126" s="299">
        <f>9450*140.9</f>
        <v>1331505</v>
      </c>
      <c r="G126" s="299">
        <f t="shared" si="8"/>
        <v>1331505</v>
      </c>
      <c r="H126" s="303">
        <v>0</v>
      </c>
      <c r="I126" s="299">
        <f t="shared" si="7"/>
        <v>1331505</v>
      </c>
      <c r="J126" s="304">
        <v>0.2</v>
      </c>
      <c r="K126" s="299">
        <f t="shared" si="6"/>
        <v>266301</v>
      </c>
    </row>
    <row r="127" spans="1:11">
      <c r="A127" s="301">
        <v>122</v>
      </c>
      <c r="B127" s="298" t="s">
        <v>621</v>
      </c>
      <c r="C127" s="324" t="s">
        <v>622</v>
      </c>
      <c r="D127" s="297" t="s">
        <v>501</v>
      </c>
      <c r="E127" s="298">
        <v>1</v>
      </c>
      <c r="F127" s="299">
        <v>99050</v>
      </c>
      <c r="G127" s="299">
        <f t="shared" si="8"/>
        <v>99050</v>
      </c>
      <c r="H127" s="303">
        <v>0</v>
      </c>
      <c r="I127" s="299">
        <f t="shared" si="7"/>
        <v>99050</v>
      </c>
      <c r="J127" s="304">
        <v>0.2</v>
      </c>
      <c r="K127" s="299">
        <f t="shared" si="6"/>
        <v>19810</v>
      </c>
    </row>
    <row r="128" spans="1:11">
      <c r="A128" s="301">
        <v>123</v>
      </c>
      <c r="B128" s="298" t="s">
        <v>621</v>
      </c>
      <c r="C128" s="324" t="s">
        <v>622</v>
      </c>
      <c r="D128" s="297" t="s">
        <v>501</v>
      </c>
      <c r="E128" s="298">
        <v>1</v>
      </c>
      <c r="F128" s="299">
        <v>74550</v>
      </c>
      <c r="G128" s="299">
        <f t="shared" si="8"/>
        <v>74550</v>
      </c>
      <c r="H128" s="303">
        <v>0</v>
      </c>
      <c r="I128" s="299">
        <f t="shared" si="7"/>
        <v>74550</v>
      </c>
      <c r="J128" s="304">
        <v>0.2</v>
      </c>
      <c r="K128" s="299">
        <f t="shared" si="6"/>
        <v>14910</v>
      </c>
    </row>
    <row r="129" spans="1:11">
      <c r="A129" s="301">
        <v>124</v>
      </c>
      <c r="B129" s="298" t="s">
        <v>621</v>
      </c>
      <c r="C129" s="324" t="s">
        <v>622</v>
      </c>
      <c r="D129" s="297" t="s">
        <v>501</v>
      </c>
      <c r="E129" s="298">
        <v>2</v>
      </c>
      <c r="F129" s="299">
        <v>62888.3</v>
      </c>
      <c r="G129" s="299">
        <f t="shared" si="8"/>
        <v>125776.6</v>
      </c>
      <c r="H129" s="303">
        <v>0</v>
      </c>
      <c r="I129" s="299">
        <f t="shared" si="7"/>
        <v>125776.6</v>
      </c>
      <c r="J129" s="304">
        <v>0.2</v>
      </c>
      <c r="K129" s="299">
        <f t="shared" si="6"/>
        <v>25155.320000000003</v>
      </c>
    </row>
    <row r="130" spans="1:11">
      <c r="A130" s="301">
        <v>125</v>
      </c>
      <c r="B130" s="298" t="s">
        <v>623</v>
      </c>
      <c r="C130" s="324" t="s">
        <v>622</v>
      </c>
      <c r="D130" s="297" t="s">
        <v>501</v>
      </c>
      <c r="E130" s="298">
        <v>1</v>
      </c>
      <c r="F130" s="299">
        <v>255383</v>
      </c>
      <c r="G130" s="299">
        <f t="shared" si="8"/>
        <v>255383</v>
      </c>
      <c r="H130" s="303">
        <v>0</v>
      </c>
      <c r="I130" s="299">
        <f t="shared" si="7"/>
        <v>255383</v>
      </c>
      <c r="J130" s="304">
        <v>0.2</v>
      </c>
      <c r="K130" s="299">
        <f t="shared" si="6"/>
        <v>51076.600000000006</v>
      </c>
    </row>
    <row r="131" spans="1:11">
      <c r="A131" s="301">
        <v>126</v>
      </c>
      <c r="B131" s="298" t="s">
        <v>624</v>
      </c>
      <c r="C131" s="324" t="s">
        <v>625</v>
      </c>
      <c r="D131" s="297" t="s">
        <v>501</v>
      </c>
      <c r="E131" s="298">
        <v>1</v>
      </c>
      <c r="F131" s="299">
        <v>59508</v>
      </c>
      <c r="G131" s="299">
        <f t="shared" si="8"/>
        <v>59508</v>
      </c>
      <c r="H131" s="303">
        <v>0</v>
      </c>
      <c r="I131" s="299">
        <f t="shared" si="7"/>
        <v>59508</v>
      </c>
      <c r="J131" s="304">
        <v>0.2</v>
      </c>
      <c r="K131" s="299">
        <f t="shared" si="6"/>
        <v>11901.6</v>
      </c>
    </row>
    <row r="132" spans="1:11">
      <c r="A132" s="301">
        <v>127</v>
      </c>
      <c r="B132" s="298" t="s">
        <v>626</v>
      </c>
      <c r="C132" s="327" t="s">
        <v>627</v>
      </c>
      <c r="D132" s="301" t="s">
        <v>501</v>
      </c>
      <c r="E132" s="302">
        <v>1</v>
      </c>
      <c r="F132" s="303">
        <v>248084</v>
      </c>
      <c r="G132" s="299">
        <f t="shared" si="8"/>
        <v>248084</v>
      </c>
      <c r="H132" s="303">
        <v>0</v>
      </c>
      <c r="I132" s="299">
        <f t="shared" si="7"/>
        <v>248084</v>
      </c>
      <c r="J132" s="304">
        <v>0.2</v>
      </c>
      <c r="K132" s="299">
        <f t="shared" si="6"/>
        <v>49616.800000000003</v>
      </c>
    </row>
    <row r="133" spans="1:11">
      <c r="A133" s="301">
        <v>110</v>
      </c>
      <c r="B133" s="302" t="s">
        <v>579</v>
      </c>
      <c r="C133" s="328" t="s">
        <v>609</v>
      </c>
      <c r="D133" s="301" t="s">
        <v>501</v>
      </c>
      <c r="E133" s="302">
        <v>1</v>
      </c>
      <c r="F133" s="303">
        <f>1820*141.12</f>
        <v>256838.39999999999</v>
      </c>
      <c r="G133" s="299">
        <f>+F133*E133</f>
        <v>256838.39999999999</v>
      </c>
      <c r="H133" s="303">
        <v>12842</v>
      </c>
      <c r="I133" s="299">
        <f>G133-H133</f>
        <v>243996.4</v>
      </c>
      <c r="J133" s="304">
        <v>0.2</v>
      </c>
      <c r="K133" s="299">
        <f t="shared" si="6"/>
        <v>48799.28</v>
      </c>
    </row>
    <row r="134" spans="1:11">
      <c r="A134" s="301">
        <v>128</v>
      </c>
      <c r="B134" s="298" t="s">
        <v>628</v>
      </c>
      <c r="C134" s="327" t="s">
        <v>629</v>
      </c>
      <c r="D134" s="301" t="s">
        <v>501</v>
      </c>
      <c r="E134" s="302">
        <v>2</v>
      </c>
      <c r="F134" s="303">
        <v>321849</v>
      </c>
      <c r="G134" s="299">
        <f t="shared" si="8"/>
        <v>643698</v>
      </c>
      <c r="H134" s="303">
        <v>0</v>
      </c>
      <c r="I134" s="299">
        <f t="shared" si="7"/>
        <v>643698</v>
      </c>
      <c r="J134" s="304">
        <v>0.2</v>
      </c>
      <c r="K134" s="299">
        <f t="shared" si="6"/>
        <v>128739.6</v>
      </c>
    </row>
    <row r="135" spans="1:11">
      <c r="A135" s="301">
        <v>129</v>
      </c>
      <c r="B135" s="329" t="s">
        <v>630</v>
      </c>
      <c r="C135" s="330" t="s">
        <v>631</v>
      </c>
      <c r="D135" s="301" t="s">
        <v>501</v>
      </c>
      <c r="E135" s="302">
        <v>2</v>
      </c>
      <c r="F135" s="303">
        <v>24503</v>
      </c>
      <c r="G135" s="299">
        <f t="shared" si="8"/>
        <v>49006</v>
      </c>
      <c r="H135" s="303">
        <v>8168</v>
      </c>
      <c r="I135" s="299">
        <f t="shared" si="7"/>
        <v>40838</v>
      </c>
      <c r="J135" s="304">
        <v>0.2</v>
      </c>
      <c r="K135" s="299">
        <f t="shared" si="6"/>
        <v>8167.6</v>
      </c>
    </row>
    <row r="136" spans="1:11">
      <c r="A136" s="301">
        <v>130</v>
      </c>
      <c r="B136" s="329" t="s">
        <v>630</v>
      </c>
      <c r="C136" s="330" t="s">
        <v>632</v>
      </c>
      <c r="D136" s="301" t="s">
        <v>501</v>
      </c>
      <c r="E136" s="302">
        <v>1</v>
      </c>
      <c r="F136" s="303">
        <v>69651</v>
      </c>
      <c r="G136" s="299">
        <f t="shared" si="8"/>
        <v>69651</v>
      </c>
      <c r="H136" s="303">
        <v>6965</v>
      </c>
      <c r="I136" s="299">
        <f t="shared" si="7"/>
        <v>62686</v>
      </c>
      <c r="J136" s="304">
        <v>0.2</v>
      </c>
      <c r="K136" s="299">
        <f t="shared" si="6"/>
        <v>12537.2</v>
      </c>
    </row>
    <row r="137" spans="1:11">
      <c r="A137" s="301">
        <v>131</v>
      </c>
      <c r="B137" s="329" t="s">
        <v>633</v>
      </c>
      <c r="C137" s="330" t="s">
        <v>634</v>
      </c>
      <c r="D137" s="301" t="s">
        <v>501</v>
      </c>
      <c r="E137" s="302">
        <v>1</v>
      </c>
      <c r="F137" s="303">
        <v>4165076</v>
      </c>
      <c r="G137" s="299">
        <f t="shared" si="8"/>
        <v>4165076</v>
      </c>
      <c r="H137" s="303">
        <v>277672</v>
      </c>
      <c r="I137" s="299">
        <f t="shared" si="7"/>
        <v>3887404</v>
      </c>
      <c r="J137" s="304">
        <v>0.2</v>
      </c>
      <c r="K137" s="299">
        <f t="shared" ref="K137:K146" si="9">+I137*J137</f>
        <v>777480.8</v>
      </c>
    </row>
    <row r="138" spans="1:11">
      <c r="A138" s="301">
        <v>132</v>
      </c>
      <c r="B138" s="329" t="s">
        <v>633</v>
      </c>
      <c r="C138" s="330" t="s">
        <v>635</v>
      </c>
      <c r="D138" s="301" t="s">
        <v>501</v>
      </c>
      <c r="E138" s="302">
        <v>1</v>
      </c>
      <c r="F138" s="303">
        <v>3103724</v>
      </c>
      <c r="G138" s="299">
        <f t="shared" si="8"/>
        <v>3103724</v>
      </c>
      <c r="H138" s="303">
        <v>155186</v>
      </c>
      <c r="I138" s="299">
        <f t="shared" ref="I138:I176" si="10">G138-H138</f>
        <v>2948538</v>
      </c>
      <c r="J138" s="304">
        <v>0.2</v>
      </c>
      <c r="K138" s="299">
        <f t="shared" si="9"/>
        <v>589707.6</v>
      </c>
    </row>
    <row r="139" spans="1:11" ht="18">
      <c r="A139" s="297">
        <v>133</v>
      </c>
      <c r="B139" s="331" t="s">
        <v>636</v>
      </c>
      <c r="C139" s="332" t="s">
        <v>637</v>
      </c>
      <c r="D139" s="333" t="s">
        <v>501</v>
      </c>
      <c r="E139" s="334">
        <v>1</v>
      </c>
      <c r="F139" s="335">
        <f>26019370+398</f>
        <v>26019768</v>
      </c>
      <c r="G139" s="335">
        <f t="shared" si="8"/>
        <v>26019768</v>
      </c>
      <c r="H139" s="335">
        <f>867326-91</f>
        <v>867235</v>
      </c>
      <c r="I139" s="335">
        <f t="shared" si="10"/>
        <v>25152533</v>
      </c>
      <c r="J139" s="336">
        <v>0.2</v>
      </c>
      <c r="K139" s="335">
        <f>+I139*J139/12*11</f>
        <v>4611297.7166666668</v>
      </c>
    </row>
    <row r="140" spans="1:11">
      <c r="A140" s="301">
        <v>134</v>
      </c>
      <c r="B140" s="329" t="s">
        <v>638</v>
      </c>
      <c r="C140" s="330" t="s">
        <v>639</v>
      </c>
      <c r="D140" s="301" t="s">
        <v>501</v>
      </c>
      <c r="E140" s="302">
        <v>1</v>
      </c>
      <c r="F140" s="303">
        <v>445719</v>
      </c>
      <c r="G140" s="299">
        <f t="shared" si="8"/>
        <v>445719</v>
      </c>
      <c r="H140" s="303">
        <v>14857</v>
      </c>
      <c r="I140" s="299">
        <f t="shared" si="10"/>
        <v>430862</v>
      </c>
      <c r="J140" s="304">
        <v>0.2</v>
      </c>
      <c r="K140" s="299">
        <f t="shared" si="9"/>
        <v>86172.400000000009</v>
      </c>
    </row>
    <row r="141" spans="1:11">
      <c r="A141" s="301">
        <v>135</v>
      </c>
      <c r="B141" s="329" t="s">
        <v>640</v>
      </c>
      <c r="C141" s="330" t="s">
        <v>641</v>
      </c>
      <c r="D141" s="301" t="s">
        <v>501</v>
      </c>
      <c r="E141" s="302">
        <v>1</v>
      </c>
      <c r="F141" s="303">
        <v>8091474</v>
      </c>
      <c r="G141" s="299">
        <f t="shared" si="8"/>
        <v>8091474</v>
      </c>
      <c r="H141" s="303">
        <v>269716</v>
      </c>
      <c r="I141" s="299">
        <f t="shared" si="10"/>
        <v>7821758</v>
      </c>
      <c r="J141" s="304">
        <v>0.2</v>
      </c>
      <c r="K141" s="299">
        <f t="shared" si="9"/>
        <v>1564351.6</v>
      </c>
    </row>
    <row r="142" spans="1:11">
      <c r="A142" s="301">
        <v>136</v>
      </c>
      <c r="B142" s="329" t="s">
        <v>642</v>
      </c>
      <c r="C142" s="330" t="s">
        <v>643</v>
      </c>
      <c r="D142" s="301" t="s">
        <v>501</v>
      </c>
      <c r="E142" s="302">
        <v>1</v>
      </c>
      <c r="F142" s="303">
        <v>617505</v>
      </c>
      <c r="G142" s="299">
        <f t="shared" si="8"/>
        <v>617505</v>
      </c>
      <c r="H142" s="303">
        <v>10292</v>
      </c>
      <c r="I142" s="299">
        <f t="shared" si="10"/>
        <v>607213</v>
      </c>
      <c r="J142" s="304">
        <v>0.2</v>
      </c>
      <c r="K142" s="299">
        <f t="shared" si="9"/>
        <v>121442.6</v>
      </c>
    </row>
    <row r="143" spans="1:11">
      <c r="A143" s="301">
        <v>137</v>
      </c>
      <c r="B143" s="329" t="s">
        <v>642</v>
      </c>
      <c r="C143" s="330" t="s">
        <v>643</v>
      </c>
      <c r="D143" s="301" t="s">
        <v>501</v>
      </c>
      <c r="E143" s="302">
        <v>1</v>
      </c>
      <c r="F143" s="303">
        <v>279765</v>
      </c>
      <c r="G143" s="299">
        <f t="shared" si="8"/>
        <v>279765</v>
      </c>
      <c r="H143" s="303">
        <v>4663</v>
      </c>
      <c r="I143" s="299">
        <f t="shared" si="10"/>
        <v>275102</v>
      </c>
      <c r="J143" s="304">
        <v>0.2</v>
      </c>
      <c r="K143" s="299">
        <f t="shared" si="9"/>
        <v>55020.4</v>
      </c>
    </row>
    <row r="144" spans="1:11">
      <c r="A144" s="301">
        <v>138</v>
      </c>
      <c r="B144" s="329" t="s">
        <v>644</v>
      </c>
      <c r="C144" s="330" t="s">
        <v>645</v>
      </c>
      <c r="D144" s="301" t="s">
        <v>501</v>
      </c>
      <c r="E144" s="302">
        <v>1</v>
      </c>
      <c r="F144" s="303">
        <v>755522</v>
      </c>
      <c r="G144" s="299">
        <f t="shared" si="8"/>
        <v>755522</v>
      </c>
      <c r="H144" s="303">
        <v>12592</v>
      </c>
      <c r="I144" s="299">
        <f t="shared" si="10"/>
        <v>742930</v>
      </c>
      <c r="J144" s="304">
        <v>0.2</v>
      </c>
      <c r="K144" s="299">
        <f t="shared" si="9"/>
        <v>148586</v>
      </c>
    </row>
    <row r="145" spans="1:11">
      <c r="A145" s="301">
        <v>139</v>
      </c>
      <c r="B145" s="329" t="s">
        <v>646</v>
      </c>
      <c r="C145" s="330" t="s">
        <v>645</v>
      </c>
      <c r="D145" s="301" t="s">
        <v>501</v>
      </c>
      <c r="E145" s="302">
        <v>3</v>
      </c>
      <c r="F145" s="303">
        <v>188762</v>
      </c>
      <c r="G145" s="299">
        <f t="shared" si="8"/>
        <v>566286</v>
      </c>
      <c r="H145" s="303">
        <v>9438</v>
      </c>
      <c r="I145" s="299">
        <f t="shared" si="10"/>
        <v>556848</v>
      </c>
      <c r="J145" s="304">
        <v>0.2</v>
      </c>
      <c r="K145" s="299">
        <f t="shared" si="9"/>
        <v>111369.60000000001</v>
      </c>
    </row>
    <row r="146" spans="1:11" ht="15.75" thickBot="1">
      <c r="A146" s="301">
        <v>140</v>
      </c>
      <c r="B146" s="337" t="s">
        <v>647</v>
      </c>
      <c r="C146" s="338" t="s">
        <v>648</v>
      </c>
      <c r="D146" s="339" t="s">
        <v>501</v>
      </c>
      <c r="E146" s="340">
        <v>1</v>
      </c>
      <c r="F146" s="341">
        <v>659730</v>
      </c>
      <c r="G146" s="341">
        <v>659730</v>
      </c>
      <c r="H146" s="342">
        <v>0</v>
      </c>
      <c r="I146" s="341">
        <f t="shared" si="10"/>
        <v>659730</v>
      </c>
      <c r="J146" s="343">
        <v>0.05</v>
      </c>
      <c r="K146" s="341">
        <f t="shared" si="9"/>
        <v>32986.5</v>
      </c>
    </row>
    <row r="147" spans="1:11">
      <c r="A147" s="301">
        <v>141</v>
      </c>
      <c r="B147" s="344" t="s">
        <v>617</v>
      </c>
      <c r="C147" s="345" t="s">
        <v>649</v>
      </c>
      <c r="D147" s="346" t="s">
        <v>501</v>
      </c>
      <c r="E147" s="347">
        <v>1</v>
      </c>
      <c r="F147" s="348">
        <v>13339200</v>
      </c>
      <c r="G147" s="349">
        <f t="shared" si="8"/>
        <v>13339200</v>
      </c>
      <c r="H147" s="348">
        <v>0</v>
      </c>
      <c r="I147" s="349">
        <f t="shared" si="10"/>
        <v>13339200</v>
      </c>
      <c r="J147" s="350">
        <v>0.2</v>
      </c>
      <c r="K147" s="349">
        <f>+I147*J147/12*6</f>
        <v>1333920</v>
      </c>
    </row>
    <row r="148" spans="1:11">
      <c r="A148" s="301">
        <v>142</v>
      </c>
      <c r="B148" s="351" t="s">
        <v>650</v>
      </c>
      <c r="C148" s="352" t="s">
        <v>649</v>
      </c>
      <c r="D148" s="301" t="s">
        <v>501</v>
      </c>
      <c r="E148" s="302">
        <v>1</v>
      </c>
      <c r="F148" s="303">
        <v>694750</v>
      </c>
      <c r="G148" s="299">
        <f t="shared" si="8"/>
        <v>694750</v>
      </c>
      <c r="H148" s="303">
        <v>0</v>
      </c>
      <c r="I148" s="299">
        <f t="shared" si="10"/>
        <v>694750</v>
      </c>
      <c r="J148" s="304">
        <v>0.2</v>
      </c>
      <c r="K148" s="299">
        <f>+I148*J148/12*6</f>
        <v>69475</v>
      </c>
    </row>
    <row r="149" spans="1:11">
      <c r="A149" s="301">
        <v>143</v>
      </c>
      <c r="B149" s="351" t="s">
        <v>650</v>
      </c>
      <c r="C149" s="352" t="s">
        <v>649</v>
      </c>
      <c r="D149" s="301" t="s">
        <v>501</v>
      </c>
      <c r="E149" s="302">
        <v>1</v>
      </c>
      <c r="F149" s="303">
        <v>1157917</v>
      </c>
      <c r="G149" s="299">
        <f t="shared" si="8"/>
        <v>1157917</v>
      </c>
      <c r="H149" s="303">
        <v>0</v>
      </c>
      <c r="I149" s="299">
        <f t="shared" si="10"/>
        <v>1157917</v>
      </c>
      <c r="J149" s="304">
        <v>0.2</v>
      </c>
      <c r="K149" s="299">
        <f>+I149*J149/12*6</f>
        <v>115791.70000000001</v>
      </c>
    </row>
    <row r="150" spans="1:11">
      <c r="A150" s="301">
        <v>144</v>
      </c>
      <c r="B150" s="353" t="s">
        <v>651</v>
      </c>
      <c r="C150" s="330" t="s">
        <v>652</v>
      </c>
      <c r="D150" s="301" t="s">
        <v>501</v>
      </c>
      <c r="E150" s="302">
        <v>1</v>
      </c>
      <c r="F150" s="303">
        <f>+[1]Foglio1!X28</f>
        <v>27833</v>
      </c>
      <c r="G150" s="299">
        <f t="shared" si="8"/>
        <v>27833</v>
      </c>
      <c r="H150" s="303">
        <v>0</v>
      </c>
      <c r="I150" s="299">
        <f t="shared" si="10"/>
        <v>27833</v>
      </c>
      <c r="J150" s="304">
        <v>0.2</v>
      </c>
      <c r="K150" s="299">
        <f>+I150*J150/12*11</f>
        <v>5102.7166666666672</v>
      </c>
    </row>
    <row r="151" spans="1:11">
      <c r="A151" s="301">
        <v>145</v>
      </c>
      <c r="B151" s="353" t="s">
        <v>653</v>
      </c>
      <c r="C151" s="330" t="s">
        <v>654</v>
      </c>
      <c r="D151" s="301" t="s">
        <v>501</v>
      </c>
      <c r="E151" s="302">
        <v>1</v>
      </c>
      <c r="F151" s="303">
        <f>+[1]Foglio1!X43</f>
        <v>36908</v>
      </c>
      <c r="G151" s="299">
        <f t="shared" si="8"/>
        <v>36908</v>
      </c>
      <c r="H151" s="303">
        <v>0</v>
      </c>
      <c r="I151" s="299">
        <f t="shared" si="10"/>
        <v>36908</v>
      </c>
      <c r="J151" s="304">
        <v>0.25</v>
      </c>
      <c r="K151" s="299">
        <f>+I151*J151/12*11</f>
        <v>8458.0833333333321</v>
      </c>
    </row>
    <row r="152" spans="1:11">
      <c r="A152" s="301">
        <v>146</v>
      </c>
      <c r="B152" s="353" t="s">
        <v>590</v>
      </c>
      <c r="C152" s="330" t="s">
        <v>655</v>
      </c>
      <c r="D152" s="301" t="s">
        <v>501</v>
      </c>
      <c r="E152" s="302">
        <v>1</v>
      </c>
      <c r="F152" s="303">
        <f>+[1]Foglio1!X69</f>
        <v>17375</v>
      </c>
      <c r="G152" s="299">
        <f t="shared" si="8"/>
        <v>17375</v>
      </c>
      <c r="H152" s="303">
        <v>0</v>
      </c>
      <c r="I152" s="299">
        <f t="shared" si="10"/>
        <v>17375</v>
      </c>
      <c r="J152" s="304">
        <v>0.25</v>
      </c>
      <c r="K152" s="299">
        <f>+I152*J152/12*10</f>
        <v>3619.791666666667</v>
      </c>
    </row>
    <row r="153" spans="1:11">
      <c r="A153" s="301">
        <v>147</v>
      </c>
      <c r="B153" s="353" t="s">
        <v>656</v>
      </c>
      <c r="C153" s="330" t="s">
        <v>657</v>
      </c>
      <c r="D153" s="301" t="s">
        <v>501</v>
      </c>
      <c r="E153" s="302">
        <v>1</v>
      </c>
      <c r="F153" s="303">
        <f>+[1]Foglio1!X97</f>
        <v>259737.1</v>
      </c>
      <c r="G153" s="299">
        <f t="shared" si="8"/>
        <v>259737.1</v>
      </c>
      <c r="H153" s="303">
        <v>0</v>
      </c>
      <c r="I153" s="299">
        <f t="shared" si="10"/>
        <v>259737.1</v>
      </c>
      <c r="J153" s="304">
        <v>0.2</v>
      </c>
      <c r="K153" s="299">
        <f>+I153*J153/12*10</f>
        <v>43289.51666666667</v>
      </c>
    </row>
    <row r="154" spans="1:11">
      <c r="A154" s="301">
        <v>148</v>
      </c>
      <c r="B154" s="354" t="s">
        <v>658</v>
      </c>
      <c r="C154" s="330" t="s">
        <v>657</v>
      </c>
      <c r="D154" s="301" t="s">
        <v>501</v>
      </c>
      <c r="E154" s="302">
        <v>1</v>
      </c>
      <c r="F154" s="266">
        <f>13480*140.02</f>
        <v>1887469.6</v>
      </c>
      <c r="G154" s="299">
        <f t="shared" si="8"/>
        <v>1887469.6</v>
      </c>
      <c r="H154" s="303">
        <v>0</v>
      </c>
      <c r="I154" s="299">
        <f t="shared" si="10"/>
        <v>1887469.6</v>
      </c>
      <c r="J154" s="304">
        <v>0.2</v>
      </c>
      <c r="K154" s="299">
        <f>+I154*J154/12*10</f>
        <v>314578.26666666672</v>
      </c>
    </row>
    <row r="155" spans="1:11">
      <c r="A155" s="301">
        <v>149</v>
      </c>
      <c r="B155" s="353" t="s">
        <v>659</v>
      </c>
      <c r="C155" s="330" t="s">
        <v>660</v>
      </c>
      <c r="D155" s="301" t="s">
        <v>501</v>
      </c>
      <c r="E155" s="302">
        <v>5</v>
      </c>
      <c r="F155" s="303">
        <v>87240</v>
      </c>
      <c r="G155" s="299">
        <v>87240</v>
      </c>
      <c r="H155" s="303">
        <v>0</v>
      </c>
      <c r="I155" s="299">
        <f t="shared" si="10"/>
        <v>87240</v>
      </c>
      <c r="J155" s="304">
        <v>0.2</v>
      </c>
      <c r="K155" s="299">
        <f>+I155*J155/12*10</f>
        <v>14540</v>
      </c>
    </row>
    <row r="156" spans="1:11">
      <c r="A156" s="301">
        <v>150</v>
      </c>
      <c r="B156" s="353" t="s">
        <v>659</v>
      </c>
      <c r="C156" s="330" t="s">
        <v>661</v>
      </c>
      <c r="D156" s="301" t="s">
        <v>501</v>
      </c>
      <c r="E156" s="302"/>
      <c r="F156" s="303">
        <f>496801+46270</f>
        <v>543071</v>
      </c>
      <c r="G156" s="303">
        <f>496801+46270</f>
        <v>543071</v>
      </c>
      <c r="H156" s="303">
        <v>0</v>
      </c>
      <c r="I156" s="299">
        <f t="shared" si="10"/>
        <v>543071</v>
      </c>
      <c r="J156" s="304">
        <v>0.2</v>
      </c>
      <c r="K156" s="299">
        <f>+I156*J156/12*6</f>
        <v>54307.100000000006</v>
      </c>
    </row>
    <row r="157" spans="1:11">
      <c r="A157" s="301">
        <v>151</v>
      </c>
      <c r="B157" s="355" t="s">
        <v>662</v>
      </c>
      <c r="C157" s="330" t="s">
        <v>663</v>
      </c>
      <c r="D157" s="301" t="s">
        <v>501</v>
      </c>
      <c r="E157" s="302">
        <v>1</v>
      </c>
      <c r="F157" s="356">
        <v>1181330</v>
      </c>
      <c r="G157" s="356">
        <v>1181330</v>
      </c>
      <c r="H157" s="303">
        <v>0</v>
      </c>
      <c r="I157" s="299">
        <f t="shared" si="10"/>
        <v>1181330</v>
      </c>
      <c r="J157" s="304">
        <v>0.2</v>
      </c>
      <c r="K157" s="299">
        <f>+I157*J157/12*6</f>
        <v>118133</v>
      </c>
    </row>
    <row r="158" spans="1:11">
      <c r="A158" s="301">
        <v>152</v>
      </c>
      <c r="B158" s="355" t="s">
        <v>662</v>
      </c>
      <c r="C158" s="330" t="s">
        <v>663</v>
      </c>
      <c r="D158" s="301" t="s">
        <v>501</v>
      </c>
      <c r="E158" s="302">
        <v>1</v>
      </c>
      <c r="F158" s="356">
        <v>1216075</v>
      </c>
      <c r="G158" s="356">
        <v>1216075</v>
      </c>
      <c r="H158" s="303">
        <v>0</v>
      </c>
      <c r="I158" s="299">
        <f t="shared" si="10"/>
        <v>1216075</v>
      </c>
      <c r="J158" s="304">
        <v>0.2</v>
      </c>
      <c r="K158" s="299">
        <f>+I158*J158/12*6</f>
        <v>121607.5</v>
      </c>
    </row>
    <row r="159" spans="1:11">
      <c r="A159" s="301">
        <v>153</v>
      </c>
      <c r="B159" s="354" t="s">
        <v>664</v>
      </c>
      <c r="C159" s="330" t="s">
        <v>665</v>
      </c>
      <c r="D159" s="301" t="s">
        <v>501</v>
      </c>
      <c r="E159" s="302">
        <v>1</v>
      </c>
      <c r="F159" s="303">
        <v>44160</v>
      </c>
      <c r="G159" s="299">
        <f t="shared" ref="G159:G175" si="11">+F159</f>
        <v>44160</v>
      </c>
      <c r="H159" s="303">
        <v>0</v>
      </c>
      <c r="I159" s="299">
        <f t="shared" si="10"/>
        <v>44160</v>
      </c>
      <c r="J159" s="304">
        <v>0.25</v>
      </c>
      <c r="K159" s="299">
        <f>+I159*J159/12*4</f>
        <v>3680</v>
      </c>
    </row>
    <row r="160" spans="1:11">
      <c r="A160" s="301">
        <v>154</v>
      </c>
      <c r="B160" s="353" t="s">
        <v>594</v>
      </c>
      <c r="C160" s="330" t="s">
        <v>666</v>
      </c>
      <c r="D160" s="301" t="s">
        <v>501</v>
      </c>
      <c r="E160" s="302">
        <v>5</v>
      </c>
      <c r="F160" s="303">
        <f>+[1]Foglio1!X813+[1]Foglio1!X814+[1]Foglio1!X815</f>
        <v>289475</v>
      </c>
      <c r="G160" s="299">
        <f t="shared" si="11"/>
        <v>289475</v>
      </c>
      <c r="H160" s="303">
        <v>0</v>
      </c>
      <c r="I160" s="299">
        <f t="shared" si="10"/>
        <v>289475</v>
      </c>
      <c r="J160" s="304">
        <v>0.2</v>
      </c>
      <c r="K160" s="299">
        <f>+I160*J160/12*4</f>
        <v>19298.333333333332</v>
      </c>
    </row>
    <row r="161" spans="1:11">
      <c r="A161" s="301">
        <v>155</v>
      </c>
      <c r="B161" s="357" t="s">
        <v>667</v>
      </c>
      <c r="C161" s="330" t="s">
        <v>668</v>
      </c>
      <c r="D161" s="301" t="s">
        <v>501</v>
      </c>
      <c r="E161" s="302">
        <v>1</v>
      </c>
      <c r="F161" s="266">
        <v>398228</v>
      </c>
      <c r="G161" s="299">
        <f t="shared" si="11"/>
        <v>398228</v>
      </c>
      <c r="H161" s="303">
        <v>0</v>
      </c>
      <c r="I161" s="299">
        <f t="shared" si="10"/>
        <v>398228</v>
      </c>
      <c r="J161" s="304">
        <v>0.2</v>
      </c>
      <c r="K161" s="299">
        <f>+I161*J161/12*4</f>
        <v>26548.533333333336</v>
      </c>
    </row>
    <row r="162" spans="1:11">
      <c r="A162" s="301">
        <v>156</v>
      </c>
      <c r="B162" s="353" t="s">
        <v>669</v>
      </c>
      <c r="C162" s="330" t="s">
        <v>670</v>
      </c>
      <c r="D162" s="301" t="s">
        <v>501</v>
      </c>
      <c r="E162" s="302">
        <v>1</v>
      </c>
      <c r="F162" s="303">
        <v>47500</v>
      </c>
      <c r="G162" s="299">
        <f t="shared" si="11"/>
        <v>47500</v>
      </c>
      <c r="H162" s="303">
        <v>0</v>
      </c>
      <c r="I162" s="299">
        <f t="shared" si="10"/>
        <v>47500</v>
      </c>
      <c r="J162" s="304">
        <v>0.25</v>
      </c>
      <c r="K162" s="299">
        <f>+I162*J162/12*3</f>
        <v>2968.75</v>
      </c>
    </row>
    <row r="163" spans="1:11">
      <c r="A163" s="301">
        <v>157</v>
      </c>
      <c r="B163" s="353" t="s">
        <v>671</v>
      </c>
      <c r="C163" s="330" t="s">
        <v>670</v>
      </c>
      <c r="D163" s="301" t="s">
        <v>501</v>
      </c>
      <c r="E163" s="302">
        <v>1</v>
      </c>
      <c r="F163" s="303">
        <v>54000</v>
      </c>
      <c r="G163" s="299">
        <f t="shared" si="11"/>
        <v>54000</v>
      </c>
      <c r="H163" s="303">
        <v>0</v>
      </c>
      <c r="I163" s="299">
        <f t="shared" si="10"/>
        <v>54000</v>
      </c>
      <c r="J163" s="304">
        <v>0.25</v>
      </c>
      <c r="K163" s="299">
        <f>+I163*J163/12*3</f>
        <v>3375</v>
      </c>
    </row>
    <row r="164" spans="1:11">
      <c r="A164" s="301">
        <v>158</v>
      </c>
      <c r="B164" s="353" t="s">
        <v>659</v>
      </c>
      <c r="C164" s="330" t="s">
        <v>672</v>
      </c>
      <c r="D164" s="301" t="s">
        <v>501</v>
      </c>
      <c r="E164" s="302">
        <v>18</v>
      </c>
      <c r="F164" s="303">
        <f>970286+539</f>
        <v>970825</v>
      </c>
      <c r="G164" s="299">
        <f t="shared" si="11"/>
        <v>970825</v>
      </c>
      <c r="H164" s="303">
        <v>0</v>
      </c>
      <c r="I164" s="299">
        <f t="shared" si="10"/>
        <v>970825</v>
      </c>
      <c r="J164" s="304">
        <v>0.2</v>
      </c>
      <c r="K164" s="299">
        <f>+I164*J164/12*3</f>
        <v>48541.25</v>
      </c>
    </row>
    <row r="165" spans="1:11">
      <c r="A165" s="301">
        <v>159</v>
      </c>
      <c r="B165" s="329" t="s">
        <v>653</v>
      </c>
      <c r="C165" s="330" t="s">
        <v>673</v>
      </c>
      <c r="D165" s="301" t="s">
        <v>501</v>
      </c>
      <c r="E165" s="302">
        <v>1</v>
      </c>
      <c r="F165" s="303">
        <v>17500</v>
      </c>
      <c r="G165" s="299">
        <f t="shared" si="11"/>
        <v>17500</v>
      </c>
      <c r="H165" s="303">
        <v>0</v>
      </c>
      <c r="I165" s="299">
        <f t="shared" si="10"/>
        <v>17500</v>
      </c>
      <c r="J165" s="304">
        <v>0.25</v>
      </c>
      <c r="K165" s="299">
        <f>+I165*J165/12*2</f>
        <v>729.16666666666663</v>
      </c>
    </row>
    <row r="166" spans="1:11">
      <c r="A166" s="301">
        <v>160</v>
      </c>
      <c r="B166" s="353" t="s">
        <v>659</v>
      </c>
      <c r="C166" s="330" t="s">
        <v>674</v>
      </c>
      <c r="D166" s="301" t="s">
        <v>501</v>
      </c>
      <c r="E166" s="302">
        <v>1</v>
      </c>
      <c r="F166" s="303">
        <v>21972</v>
      </c>
      <c r="G166" s="299">
        <f t="shared" si="11"/>
        <v>21972</v>
      </c>
      <c r="H166" s="303">
        <v>0</v>
      </c>
      <c r="I166" s="299">
        <f t="shared" si="10"/>
        <v>21972</v>
      </c>
      <c r="J166" s="304">
        <v>0.2</v>
      </c>
      <c r="K166" s="299">
        <f>+I166*J166/12*2</f>
        <v>732.40000000000009</v>
      </c>
    </row>
    <row r="167" spans="1:11">
      <c r="A167" s="301">
        <v>161</v>
      </c>
      <c r="B167" s="329" t="s">
        <v>669</v>
      </c>
      <c r="C167" s="330" t="s">
        <v>675</v>
      </c>
      <c r="D167" s="301" t="s">
        <v>501</v>
      </c>
      <c r="E167" s="302">
        <v>1</v>
      </c>
      <c r="F167" s="303">
        <v>102435</v>
      </c>
      <c r="G167" s="299">
        <f t="shared" si="11"/>
        <v>102435</v>
      </c>
      <c r="H167" s="303">
        <v>0</v>
      </c>
      <c r="I167" s="299">
        <f t="shared" si="10"/>
        <v>102435</v>
      </c>
      <c r="J167" s="304">
        <v>0.25</v>
      </c>
      <c r="K167" s="299">
        <f>+I167*J167/12*2</f>
        <v>4268.125</v>
      </c>
    </row>
    <row r="168" spans="1:11" ht="15.75">
      <c r="A168" s="301">
        <v>162</v>
      </c>
      <c r="B168" s="329" t="s">
        <v>676</v>
      </c>
      <c r="C168" s="330" t="s">
        <v>677</v>
      </c>
      <c r="D168" s="301" t="s">
        <v>501</v>
      </c>
      <c r="E168" s="302">
        <v>1</v>
      </c>
      <c r="F168" s="303">
        <v>350000</v>
      </c>
      <c r="G168" s="358">
        <f t="shared" si="11"/>
        <v>350000</v>
      </c>
      <c r="H168" s="303">
        <v>0</v>
      </c>
      <c r="I168" s="299">
        <f t="shared" si="10"/>
        <v>350000</v>
      </c>
      <c r="J168" s="304">
        <v>0.2</v>
      </c>
      <c r="K168" s="299">
        <f>+I168*J168/12*2</f>
        <v>11666.666666666666</v>
      </c>
    </row>
    <row r="169" spans="1:11" ht="15.75">
      <c r="A169" s="301">
        <v>163</v>
      </c>
      <c r="B169" s="329" t="s">
        <v>678</v>
      </c>
      <c r="C169" s="330" t="s">
        <v>679</v>
      </c>
      <c r="D169" s="301" t="s">
        <v>501</v>
      </c>
      <c r="E169" s="302">
        <v>1</v>
      </c>
      <c r="F169" s="303">
        <v>40000</v>
      </c>
      <c r="G169" s="358">
        <f t="shared" si="11"/>
        <v>40000</v>
      </c>
      <c r="H169" s="303">
        <v>0</v>
      </c>
      <c r="I169" s="299">
        <f t="shared" si="10"/>
        <v>40000</v>
      </c>
      <c r="J169" s="304">
        <v>0.2</v>
      </c>
      <c r="K169" s="303">
        <v>0</v>
      </c>
    </row>
    <row r="170" spans="1:11" ht="15.75">
      <c r="A170" s="301">
        <v>164</v>
      </c>
      <c r="B170" s="329" t="s">
        <v>676</v>
      </c>
      <c r="C170" s="330" t="s">
        <v>680</v>
      </c>
      <c r="D170" s="301" t="s">
        <v>501</v>
      </c>
      <c r="E170" s="302">
        <v>1</v>
      </c>
      <c r="F170" s="303">
        <f>+[1]Foglio1!X1335</f>
        <v>723058</v>
      </c>
      <c r="G170" s="358">
        <f t="shared" si="11"/>
        <v>723058</v>
      </c>
      <c r="H170" s="303">
        <v>0</v>
      </c>
      <c r="I170" s="299">
        <f t="shared" si="10"/>
        <v>723058</v>
      </c>
      <c r="J170" s="304">
        <v>0.2</v>
      </c>
      <c r="K170" s="303">
        <v>0</v>
      </c>
    </row>
    <row r="171" spans="1:11" ht="15.75">
      <c r="A171" s="301">
        <v>165</v>
      </c>
      <c r="B171" s="359" t="s">
        <v>681</v>
      </c>
      <c r="C171" s="330" t="s">
        <v>682</v>
      </c>
      <c r="D171" s="301" t="s">
        <v>501</v>
      </c>
      <c r="E171" s="302">
        <v>1</v>
      </c>
      <c r="F171" s="303">
        <f>+[1]imp.12!O59</f>
        <v>7117181.2750000004</v>
      </c>
      <c r="G171" s="299">
        <f t="shared" si="11"/>
        <v>7117181.2750000004</v>
      </c>
      <c r="H171" s="303">
        <v>0</v>
      </c>
      <c r="I171" s="299">
        <f t="shared" si="10"/>
        <v>7117181.2750000004</v>
      </c>
      <c r="J171" s="304">
        <v>0.2</v>
      </c>
      <c r="K171" s="299">
        <f>+I171*J171/12*7</f>
        <v>830337.81541666668</v>
      </c>
    </row>
    <row r="172" spans="1:11" ht="15.75">
      <c r="A172" s="301">
        <v>166</v>
      </c>
      <c r="B172" s="360" t="s">
        <v>683</v>
      </c>
      <c r="C172" s="330" t="s">
        <v>682</v>
      </c>
      <c r="D172" s="301" t="s">
        <v>501</v>
      </c>
      <c r="E172" s="302">
        <v>1</v>
      </c>
      <c r="F172" s="303">
        <f>+[1]imp.12!O61</f>
        <v>1679042.4500000002</v>
      </c>
      <c r="G172" s="299">
        <f t="shared" si="11"/>
        <v>1679042.4500000002</v>
      </c>
      <c r="H172" s="303">
        <v>0</v>
      </c>
      <c r="I172" s="299">
        <f t="shared" si="10"/>
        <v>1679042.4500000002</v>
      </c>
      <c r="J172" s="304">
        <v>0.2</v>
      </c>
      <c r="K172" s="299">
        <f>+I172*J172/12*7</f>
        <v>195888.28583333336</v>
      </c>
    </row>
    <row r="173" spans="1:11">
      <c r="A173" s="301">
        <v>167</v>
      </c>
      <c r="B173" s="361" t="s">
        <v>684</v>
      </c>
      <c r="C173" s="330" t="s">
        <v>685</v>
      </c>
      <c r="D173" s="301" t="s">
        <v>501</v>
      </c>
      <c r="E173" s="302">
        <v>1</v>
      </c>
      <c r="F173" s="303">
        <f>+[1]imp.12!O81</f>
        <v>1599529</v>
      </c>
      <c r="G173" s="299">
        <f t="shared" si="11"/>
        <v>1599529</v>
      </c>
      <c r="H173" s="303">
        <v>0</v>
      </c>
      <c r="I173" s="299">
        <f t="shared" si="10"/>
        <v>1599529</v>
      </c>
      <c r="J173" s="304">
        <v>0.2</v>
      </c>
      <c r="K173" s="299">
        <f>+I173*J173/12*6</f>
        <v>159952.90000000002</v>
      </c>
    </row>
    <row r="174" spans="1:11" ht="15.75">
      <c r="A174" s="301">
        <v>168</v>
      </c>
      <c r="B174" s="360" t="s">
        <v>686</v>
      </c>
      <c r="C174" s="330" t="s">
        <v>687</v>
      </c>
      <c r="D174" s="301" t="s">
        <v>501</v>
      </c>
      <c r="E174" s="302">
        <v>1</v>
      </c>
      <c r="F174" s="303">
        <f>+[1]imp.12!O89</f>
        <v>3887788</v>
      </c>
      <c r="G174" s="299">
        <f t="shared" si="11"/>
        <v>3887788</v>
      </c>
      <c r="H174" s="303">
        <v>0</v>
      </c>
      <c r="I174" s="299">
        <f t="shared" si="10"/>
        <v>3887788</v>
      </c>
      <c r="J174" s="304">
        <v>0.2</v>
      </c>
      <c r="K174" s="299">
        <f>+I174*J174/12*5</f>
        <v>323982.33333333337</v>
      </c>
    </row>
    <row r="175" spans="1:11" ht="15.75">
      <c r="A175" s="301">
        <v>169</v>
      </c>
      <c r="B175" s="360" t="s">
        <v>688</v>
      </c>
      <c r="C175" s="330" t="s">
        <v>689</v>
      </c>
      <c r="D175" s="301" t="s">
        <v>501</v>
      </c>
      <c r="E175" s="302">
        <v>1</v>
      </c>
      <c r="F175" s="303">
        <f>+[1]imp.12!O124</f>
        <v>1456568.1</v>
      </c>
      <c r="G175" s="299">
        <f t="shared" si="11"/>
        <v>1456568.1</v>
      </c>
      <c r="H175" s="303">
        <v>0</v>
      </c>
      <c r="I175" s="299">
        <f t="shared" si="10"/>
        <v>1456568.1</v>
      </c>
      <c r="J175" s="304">
        <v>0.2</v>
      </c>
      <c r="K175" s="299">
        <f>+I175*J175/12*1</f>
        <v>24276.135000000006</v>
      </c>
    </row>
    <row r="176" spans="1:11" ht="15.75" thickBot="1">
      <c r="A176" s="301">
        <v>170</v>
      </c>
      <c r="B176" s="329" t="s">
        <v>690</v>
      </c>
      <c r="C176" s="330" t="s">
        <v>657</v>
      </c>
      <c r="D176" s="301">
        <v>1</v>
      </c>
      <c r="E176" s="302">
        <v>1</v>
      </c>
      <c r="F176" s="303">
        <v>1225000</v>
      </c>
      <c r="G176" s="299">
        <f>+F176</f>
        <v>1225000</v>
      </c>
      <c r="H176" s="303">
        <v>0</v>
      </c>
      <c r="I176" s="299">
        <f t="shared" si="10"/>
        <v>1225000</v>
      </c>
      <c r="J176" s="304">
        <v>0.2</v>
      </c>
      <c r="K176" s="299">
        <f>+I176*J176/12*10</f>
        <v>204166.66666666669</v>
      </c>
    </row>
    <row r="177" spans="1:11" ht="16.5" thickBot="1">
      <c r="A177" s="362"/>
      <c r="B177" s="363"/>
      <c r="C177" s="364"/>
      <c r="D177" s="363"/>
      <c r="E177" s="363"/>
      <c r="F177" s="365"/>
      <c r="G177" s="365">
        <f>SUM(G6:G176)</f>
        <v>223462836.21513334</v>
      </c>
      <c r="H177" s="366">
        <f>SUM(H6:H176)</f>
        <v>31418852</v>
      </c>
      <c r="I177" s="365">
        <f>SUM(I6:I176)</f>
        <v>192043984.21513337</v>
      </c>
      <c r="J177" s="365"/>
      <c r="K177" s="365">
        <f>SUM(K6:K176)</f>
        <v>21608631.240943331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3"/>
  <sheetViews>
    <sheetView topLeftCell="A22" workbookViewId="0">
      <selection activeCell="L15" sqref="L15"/>
    </sheetView>
  </sheetViews>
  <sheetFormatPr defaultRowHeight="15.75"/>
  <cols>
    <col min="1" max="16384" width="9.140625" style="369"/>
  </cols>
  <sheetData>
    <row r="1" spans="1:12" ht="25.5">
      <c r="A1" s="367"/>
      <c r="B1" s="367"/>
      <c r="C1" s="368" t="s">
        <v>692</v>
      </c>
      <c r="D1" s="367"/>
      <c r="E1" s="367"/>
      <c r="F1" s="367"/>
      <c r="G1" s="367"/>
      <c r="H1" s="367"/>
      <c r="I1" s="367"/>
      <c r="J1" s="367"/>
      <c r="K1" s="367"/>
      <c r="L1" s="367"/>
    </row>
    <row r="2" spans="1:12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2">
      <c r="A3" s="367" t="s">
        <v>693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</row>
    <row r="4" spans="1:12">
      <c r="A4" s="367" t="s">
        <v>694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</row>
    <row r="5" spans="1:12">
      <c r="A5" s="367" t="s">
        <v>695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</row>
    <row r="6" spans="1:12">
      <c r="A6" s="367" t="s">
        <v>696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</row>
    <row r="7" spans="1:12">
      <c r="A7" s="367" t="s">
        <v>697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</row>
    <row r="8" spans="1:12">
      <c r="A8" s="367" t="s">
        <v>698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</row>
    <row r="9" spans="1:12">
      <c r="A9" s="367" t="s">
        <v>699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</row>
    <row r="10" spans="1:12">
      <c r="A10" s="367" t="s">
        <v>700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</row>
    <row r="11" spans="1:12">
      <c r="A11" s="367" t="s">
        <v>701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</row>
    <row r="12" spans="1:12">
      <c r="A12" s="370" t="s">
        <v>702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</row>
    <row r="13" spans="1:12">
      <c r="A13" s="367" t="s">
        <v>703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</row>
    <row r="14" spans="1:12">
      <c r="A14" s="367" t="s">
        <v>704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</row>
    <row r="15" spans="1:12">
      <c r="A15" s="367" t="s">
        <v>705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</row>
    <row r="16" spans="1:12">
      <c r="A16" s="367" t="s">
        <v>706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</row>
    <row r="17" spans="1:12">
      <c r="A17" s="367" t="s">
        <v>707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</row>
    <row r="18" spans="1:12">
      <c r="A18" s="367" t="s">
        <v>708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</row>
    <row r="19" spans="1:12">
      <c r="A19" s="367" t="s">
        <v>709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</row>
    <row r="20" spans="1:12">
      <c r="A20" s="367" t="s">
        <v>710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</row>
    <row r="21" spans="1:12">
      <c r="A21" s="367" t="s">
        <v>711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</row>
    <row r="22" spans="1:12">
      <c r="A22" s="367" t="s">
        <v>712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</row>
    <row r="23" spans="1:12">
      <c r="A23" s="367" t="s">
        <v>713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</row>
    <row r="24" spans="1:12">
      <c r="A24" s="367" t="s">
        <v>714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</row>
    <row r="25" spans="1:12">
      <c r="A25" s="367" t="s">
        <v>715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</row>
    <row r="26" spans="1:12">
      <c r="A26" s="367" t="s">
        <v>716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</row>
    <row r="27" spans="1:12">
      <c r="A27" s="367" t="s">
        <v>717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</row>
    <row r="28" spans="1:12">
      <c r="A28" s="367" t="s">
        <v>718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</row>
    <row r="29" spans="1:12">
      <c r="A29" s="367" t="s">
        <v>719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</row>
    <row r="30" spans="1:12">
      <c r="A30" s="367" t="s">
        <v>720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</row>
    <row r="31" spans="1:12">
      <c r="A31" s="367" t="s">
        <v>721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</row>
    <row r="32" spans="1:12">
      <c r="A32" s="367" t="s">
        <v>722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</row>
    <row r="33" spans="1:12">
      <c r="A33" s="367" t="s">
        <v>723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</row>
    <row r="34" spans="1:12">
      <c r="A34" s="367" t="s">
        <v>724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</row>
    <row r="35" spans="1:12">
      <c r="A35" s="367" t="s">
        <v>725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</row>
    <row r="36" spans="1:12">
      <c r="A36" s="367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</row>
    <row r="37" spans="1:12">
      <c r="A37" s="367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</row>
    <row r="38" spans="1:12" ht="19.5">
      <c r="A38" s="367"/>
      <c r="B38" s="367"/>
      <c r="C38" s="367"/>
      <c r="D38" s="367"/>
      <c r="E38" s="367"/>
      <c r="F38" s="367"/>
      <c r="G38" s="371"/>
      <c r="H38" s="372"/>
      <c r="I38" s="372"/>
      <c r="J38" s="372"/>
      <c r="K38" s="367"/>
      <c r="L38" s="367"/>
    </row>
    <row r="39" spans="1:12">
      <c r="A39" s="367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</row>
    <row r="40" spans="1:12">
      <c r="A40" s="367"/>
      <c r="B40" s="367"/>
      <c r="C40" s="367"/>
      <c r="D40" s="367"/>
      <c r="E40" s="367"/>
      <c r="F40" s="367"/>
      <c r="G40" s="367"/>
      <c r="H40" s="367" t="s">
        <v>726</v>
      </c>
      <c r="I40" s="367"/>
      <c r="J40" s="367"/>
      <c r="K40" s="367"/>
      <c r="L40" s="367"/>
    </row>
    <row r="41" spans="1:12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</row>
    <row r="42" spans="1:12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</row>
    <row r="43" spans="1:12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4:H36"/>
  <sheetViews>
    <sheetView topLeftCell="A13" workbookViewId="0">
      <selection activeCell="L17" sqref="L17"/>
    </sheetView>
  </sheetViews>
  <sheetFormatPr defaultRowHeight="15.75"/>
  <cols>
    <col min="1" max="1" width="6.7109375" style="367" customWidth="1"/>
    <col min="2" max="7" width="9.140625" style="367"/>
    <col min="8" max="8" width="16.5703125" style="374" customWidth="1"/>
    <col min="9" max="10" width="9.140625" style="367"/>
    <col min="11" max="11" width="9.42578125" style="367" customWidth="1"/>
    <col min="12" max="256" width="9.140625" style="367"/>
    <col min="257" max="257" width="6.7109375" style="367" customWidth="1"/>
    <col min="258" max="263" width="9.140625" style="367"/>
    <col min="264" max="264" width="16.5703125" style="367" customWidth="1"/>
    <col min="265" max="266" width="9.140625" style="367"/>
    <col min="267" max="267" width="9.42578125" style="367" customWidth="1"/>
    <col min="268" max="512" width="9.140625" style="367"/>
    <col min="513" max="513" width="6.7109375" style="367" customWidth="1"/>
    <col min="514" max="519" width="9.140625" style="367"/>
    <col min="520" max="520" width="16.5703125" style="367" customWidth="1"/>
    <col min="521" max="522" width="9.140625" style="367"/>
    <col min="523" max="523" width="9.42578125" style="367" customWidth="1"/>
    <col min="524" max="768" width="9.140625" style="367"/>
    <col min="769" max="769" width="6.7109375" style="367" customWidth="1"/>
    <col min="770" max="775" width="9.140625" style="367"/>
    <col min="776" max="776" width="16.5703125" style="367" customWidth="1"/>
    <col min="777" max="778" width="9.140625" style="367"/>
    <col min="779" max="779" width="9.42578125" style="367" customWidth="1"/>
    <col min="780" max="1024" width="9.140625" style="367"/>
    <col min="1025" max="1025" width="6.7109375" style="367" customWidth="1"/>
    <col min="1026" max="1031" width="9.140625" style="367"/>
    <col min="1032" max="1032" width="16.5703125" style="367" customWidth="1"/>
    <col min="1033" max="1034" width="9.140625" style="367"/>
    <col min="1035" max="1035" width="9.42578125" style="367" customWidth="1"/>
    <col min="1036" max="1280" width="9.140625" style="367"/>
    <col min="1281" max="1281" width="6.7109375" style="367" customWidth="1"/>
    <col min="1282" max="1287" width="9.140625" style="367"/>
    <col min="1288" max="1288" width="16.5703125" style="367" customWidth="1"/>
    <col min="1289" max="1290" width="9.140625" style="367"/>
    <col min="1291" max="1291" width="9.42578125" style="367" customWidth="1"/>
    <col min="1292" max="1536" width="9.140625" style="367"/>
    <col min="1537" max="1537" width="6.7109375" style="367" customWidth="1"/>
    <col min="1538" max="1543" width="9.140625" style="367"/>
    <col min="1544" max="1544" width="16.5703125" style="367" customWidth="1"/>
    <col min="1545" max="1546" width="9.140625" style="367"/>
    <col min="1547" max="1547" width="9.42578125" style="367" customWidth="1"/>
    <col min="1548" max="1792" width="9.140625" style="367"/>
    <col min="1793" max="1793" width="6.7109375" style="367" customWidth="1"/>
    <col min="1794" max="1799" width="9.140625" style="367"/>
    <col min="1800" max="1800" width="16.5703125" style="367" customWidth="1"/>
    <col min="1801" max="1802" width="9.140625" style="367"/>
    <col min="1803" max="1803" width="9.42578125" style="367" customWidth="1"/>
    <col min="1804" max="2048" width="9.140625" style="367"/>
    <col min="2049" max="2049" width="6.7109375" style="367" customWidth="1"/>
    <col min="2050" max="2055" width="9.140625" style="367"/>
    <col min="2056" max="2056" width="16.5703125" style="367" customWidth="1"/>
    <col min="2057" max="2058" width="9.140625" style="367"/>
    <col min="2059" max="2059" width="9.42578125" style="367" customWidth="1"/>
    <col min="2060" max="2304" width="9.140625" style="367"/>
    <col min="2305" max="2305" width="6.7109375" style="367" customWidth="1"/>
    <col min="2306" max="2311" width="9.140625" style="367"/>
    <col min="2312" max="2312" width="16.5703125" style="367" customWidth="1"/>
    <col min="2313" max="2314" width="9.140625" style="367"/>
    <col min="2315" max="2315" width="9.42578125" style="367" customWidth="1"/>
    <col min="2316" max="2560" width="9.140625" style="367"/>
    <col min="2561" max="2561" width="6.7109375" style="367" customWidth="1"/>
    <col min="2562" max="2567" width="9.140625" style="367"/>
    <col min="2568" max="2568" width="16.5703125" style="367" customWidth="1"/>
    <col min="2569" max="2570" width="9.140625" style="367"/>
    <col min="2571" max="2571" width="9.42578125" style="367" customWidth="1"/>
    <col min="2572" max="2816" width="9.140625" style="367"/>
    <col min="2817" max="2817" width="6.7109375" style="367" customWidth="1"/>
    <col min="2818" max="2823" width="9.140625" style="367"/>
    <col min="2824" max="2824" width="16.5703125" style="367" customWidth="1"/>
    <col min="2825" max="2826" width="9.140625" style="367"/>
    <col min="2827" max="2827" width="9.42578125" style="367" customWidth="1"/>
    <col min="2828" max="3072" width="9.140625" style="367"/>
    <col min="3073" max="3073" width="6.7109375" style="367" customWidth="1"/>
    <col min="3074" max="3079" width="9.140625" style="367"/>
    <col min="3080" max="3080" width="16.5703125" style="367" customWidth="1"/>
    <col min="3081" max="3082" width="9.140625" style="367"/>
    <col min="3083" max="3083" width="9.42578125" style="367" customWidth="1"/>
    <col min="3084" max="3328" width="9.140625" style="367"/>
    <col min="3329" max="3329" width="6.7109375" style="367" customWidth="1"/>
    <col min="3330" max="3335" width="9.140625" style="367"/>
    <col min="3336" max="3336" width="16.5703125" style="367" customWidth="1"/>
    <col min="3337" max="3338" width="9.140625" style="367"/>
    <col min="3339" max="3339" width="9.42578125" style="367" customWidth="1"/>
    <col min="3340" max="3584" width="9.140625" style="367"/>
    <col min="3585" max="3585" width="6.7109375" style="367" customWidth="1"/>
    <col min="3586" max="3591" width="9.140625" style="367"/>
    <col min="3592" max="3592" width="16.5703125" style="367" customWidth="1"/>
    <col min="3593" max="3594" width="9.140625" style="367"/>
    <col min="3595" max="3595" width="9.42578125" style="367" customWidth="1"/>
    <col min="3596" max="3840" width="9.140625" style="367"/>
    <col min="3841" max="3841" width="6.7109375" style="367" customWidth="1"/>
    <col min="3842" max="3847" width="9.140625" style="367"/>
    <col min="3848" max="3848" width="16.5703125" style="367" customWidth="1"/>
    <col min="3849" max="3850" width="9.140625" style="367"/>
    <col min="3851" max="3851" width="9.42578125" style="367" customWidth="1"/>
    <col min="3852" max="4096" width="9.140625" style="367"/>
    <col min="4097" max="4097" width="6.7109375" style="367" customWidth="1"/>
    <col min="4098" max="4103" width="9.140625" style="367"/>
    <col min="4104" max="4104" width="16.5703125" style="367" customWidth="1"/>
    <col min="4105" max="4106" width="9.140625" style="367"/>
    <col min="4107" max="4107" width="9.42578125" style="367" customWidth="1"/>
    <col min="4108" max="4352" width="9.140625" style="367"/>
    <col min="4353" max="4353" width="6.7109375" style="367" customWidth="1"/>
    <col min="4354" max="4359" width="9.140625" style="367"/>
    <col min="4360" max="4360" width="16.5703125" style="367" customWidth="1"/>
    <col min="4361" max="4362" width="9.140625" style="367"/>
    <col min="4363" max="4363" width="9.42578125" style="367" customWidth="1"/>
    <col min="4364" max="4608" width="9.140625" style="367"/>
    <col min="4609" max="4609" width="6.7109375" style="367" customWidth="1"/>
    <col min="4610" max="4615" width="9.140625" style="367"/>
    <col min="4616" max="4616" width="16.5703125" style="367" customWidth="1"/>
    <col min="4617" max="4618" width="9.140625" style="367"/>
    <col min="4619" max="4619" width="9.42578125" style="367" customWidth="1"/>
    <col min="4620" max="4864" width="9.140625" style="367"/>
    <col min="4865" max="4865" width="6.7109375" style="367" customWidth="1"/>
    <col min="4866" max="4871" width="9.140625" style="367"/>
    <col min="4872" max="4872" width="16.5703125" style="367" customWidth="1"/>
    <col min="4873" max="4874" width="9.140625" style="367"/>
    <col min="4875" max="4875" width="9.42578125" style="367" customWidth="1"/>
    <col min="4876" max="5120" width="9.140625" style="367"/>
    <col min="5121" max="5121" width="6.7109375" style="367" customWidth="1"/>
    <col min="5122" max="5127" width="9.140625" style="367"/>
    <col min="5128" max="5128" width="16.5703125" style="367" customWidth="1"/>
    <col min="5129" max="5130" width="9.140625" style="367"/>
    <col min="5131" max="5131" width="9.42578125" style="367" customWidth="1"/>
    <col min="5132" max="5376" width="9.140625" style="367"/>
    <col min="5377" max="5377" width="6.7109375" style="367" customWidth="1"/>
    <col min="5378" max="5383" width="9.140625" style="367"/>
    <col min="5384" max="5384" width="16.5703125" style="367" customWidth="1"/>
    <col min="5385" max="5386" width="9.140625" style="367"/>
    <col min="5387" max="5387" width="9.42578125" style="367" customWidth="1"/>
    <col min="5388" max="5632" width="9.140625" style="367"/>
    <col min="5633" max="5633" width="6.7109375" style="367" customWidth="1"/>
    <col min="5634" max="5639" width="9.140625" style="367"/>
    <col min="5640" max="5640" width="16.5703125" style="367" customWidth="1"/>
    <col min="5641" max="5642" width="9.140625" style="367"/>
    <col min="5643" max="5643" width="9.42578125" style="367" customWidth="1"/>
    <col min="5644" max="5888" width="9.140625" style="367"/>
    <col min="5889" max="5889" width="6.7109375" style="367" customWidth="1"/>
    <col min="5890" max="5895" width="9.140625" style="367"/>
    <col min="5896" max="5896" width="16.5703125" style="367" customWidth="1"/>
    <col min="5897" max="5898" width="9.140625" style="367"/>
    <col min="5899" max="5899" width="9.42578125" style="367" customWidth="1"/>
    <col min="5900" max="6144" width="9.140625" style="367"/>
    <col min="6145" max="6145" width="6.7109375" style="367" customWidth="1"/>
    <col min="6146" max="6151" width="9.140625" style="367"/>
    <col min="6152" max="6152" width="16.5703125" style="367" customWidth="1"/>
    <col min="6153" max="6154" width="9.140625" style="367"/>
    <col min="6155" max="6155" width="9.42578125" style="367" customWidth="1"/>
    <col min="6156" max="6400" width="9.140625" style="367"/>
    <col min="6401" max="6401" width="6.7109375" style="367" customWidth="1"/>
    <col min="6402" max="6407" width="9.140625" style="367"/>
    <col min="6408" max="6408" width="16.5703125" style="367" customWidth="1"/>
    <col min="6409" max="6410" width="9.140625" style="367"/>
    <col min="6411" max="6411" width="9.42578125" style="367" customWidth="1"/>
    <col min="6412" max="6656" width="9.140625" style="367"/>
    <col min="6657" max="6657" width="6.7109375" style="367" customWidth="1"/>
    <col min="6658" max="6663" width="9.140625" style="367"/>
    <col min="6664" max="6664" width="16.5703125" style="367" customWidth="1"/>
    <col min="6665" max="6666" width="9.140625" style="367"/>
    <col min="6667" max="6667" width="9.42578125" style="367" customWidth="1"/>
    <col min="6668" max="6912" width="9.140625" style="367"/>
    <col min="6913" max="6913" width="6.7109375" style="367" customWidth="1"/>
    <col min="6914" max="6919" width="9.140625" style="367"/>
    <col min="6920" max="6920" width="16.5703125" style="367" customWidth="1"/>
    <col min="6921" max="6922" width="9.140625" style="367"/>
    <col min="6923" max="6923" width="9.42578125" style="367" customWidth="1"/>
    <col min="6924" max="7168" width="9.140625" style="367"/>
    <col min="7169" max="7169" width="6.7109375" style="367" customWidth="1"/>
    <col min="7170" max="7175" width="9.140625" style="367"/>
    <col min="7176" max="7176" width="16.5703125" style="367" customWidth="1"/>
    <col min="7177" max="7178" width="9.140625" style="367"/>
    <col min="7179" max="7179" width="9.42578125" style="367" customWidth="1"/>
    <col min="7180" max="7424" width="9.140625" style="367"/>
    <col min="7425" max="7425" width="6.7109375" style="367" customWidth="1"/>
    <col min="7426" max="7431" width="9.140625" style="367"/>
    <col min="7432" max="7432" width="16.5703125" style="367" customWidth="1"/>
    <col min="7433" max="7434" width="9.140625" style="367"/>
    <col min="7435" max="7435" width="9.42578125" style="367" customWidth="1"/>
    <col min="7436" max="7680" width="9.140625" style="367"/>
    <col min="7681" max="7681" width="6.7109375" style="367" customWidth="1"/>
    <col min="7682" max="7687" width="9.140625" style="367"/>
    <col min="7688" max="7688" width="16.5703125" style="367" customWidth="1"/>
    <col min="7689" max="7690" width="9.140625" style="367"/>
    <col min="7691" max="7691" width="9.42578125" style="367" customWidth="1"/>
    <col min="7692" max="7936" width="9.140625" style="367"/>
    <col min="7937" max="7937" width="6.7109375" style="367" customWidth="1"/>
    <col min="7938" max="7943" width="9.140625" style="367"/>
    <col min="7944" max="7944" width="16.5703125" style="367" customWidth="1"/>
    <col min="7945" max="7946" width="9.140625" style="367"/>
    <col min="7947" max="7947" width="9.42578125" style="367" customWidth="1"/>
    <col min="7948" max="8192" width="9.140625" style="367"/>
    <col min="8193" max="8193" width="6.7109375" style="367" customWidth="1"/>
    <col min="8194" max="8199" width="9.140625" style="367"/>
    <col min="8200" max="8200" width="16.5703125" style="367" customWidth="1"/>
    <col min="8201" max="8202" width="9.140625" style="367"/>
    <col min="8203" max="8203" width="9.42578125" style="367" customWidth="1"/>
    <col min="8204" max="8448" width="9.140625" style="367"/>
    <col min="8449" max="8449" width="6.7109375" style="367" customWidth="1"/>
    <col min="8450" max="8455" width="9.140625" style="367"/>
    <col min="8456" max="8456" width="16.5703125" style="367" customWidth="1"/>
    <col min="8457" max="8458" width="9.140625" style="367"/>
    <col min="8459" max="8459" width="9.42578125" style="367" customWidth="1"/>
    <col min="8460" max="8704" width="9.140625" style="367"/>
    <col min="8705" max="8705" width="6.7109375" style="367" customWidth="1"/>
    <col min="8706" max="8711" width="9.140625" style="367"/>
    <col min="8712" max="8712" width="16.5703125" style="367" customWidth="1"/>
    <col min="8713" max="8714" width="9.140625" style="367"/>
    <col min="8715" max="8715" width="9.42578125" style="367" customWidth="1"/>
    <col min="8716" max="8960" width="9.140625" style="367"/>
    <col min="8961" max="8961" width="6.7109375" style="367" customWidth="1"/>
    <col min="8962" max="8967" width="9.140625" style="367"/>
    <col min="8968" max="8968" width="16.5703125" style="367" customWidth="1"/>
    <col min="8969" max="8970" width="9.140625" style="367"/>
    <col min="8971" max="8971" width="9.42578125" style="367" customWidth="1"/>
    <col min="8972" max="9216" width="9.140625" style="367"/>
    <col min="9217" max="9217" width="6.7109375" style="367" customWidth="1"/>
    <col min="9218" max="9223" width="9.140625" style="367"/>
    <col min="9224" max="9224" width="16.5703125" style="367" customWidth="1"/>
    <col min="9225" max="9226" width="9.140625" style="367"/>
    <col min="9227" max="9227" width="9.42578125" style="367" customWidth="1"/>
    <col min="9228" max="9472" width="9.140625" style="367"/>
    <col min="9473" max="9473" width="6.7109375" style="367" customWidth="1"/>
    <col min="9474" max="9479" width="9.140625" style="367"/>
    <col min="9480" max="9480" width="16.5703125" style="367" customWidth="1"/>
    <col min="9481" max="9482" width="9.140625" style="367"/>
    <col min="9483" max="9483" width="9.42578125" style="367" customWidth="1"/>
    <col min="9484" max="9728" width="9.140625" style="367"/>
    <col min="9729" max="9729" width="6.7109375" style="367" customWidth="1"/>
    <col min="9730" max="9735" width="9.140625" style="367"/>
    <col min="9736" max="9736" width="16.5703125" style="367" customWidth="1"/>
    <col min="9737" max="9738" width="9.140625" style="367"/>
    <col min="9739" max="9739" width="9.42578125" style="367" customWidth="1"/>
    <col min="9740" max="9984" width="9.140625" style="367"/>
    <col min="9985" max="9985" width="6.7109375" style="367" customWidth="1"/>
    <col min="9986" max="9991" width="9.140625" style="367"/>
    <col min="9992" max="9992" width="16.5703125" style="367" customWidth="1"/>
    <col min="9993" max="9994" width="9.140625" style="367"/>
    <col min="9995" max="9995" width="9.42578125" style="367" customWidth="1"/>
    <col min="9996" max="10240" width="9.140625" style="367"/>
    <col min="10241" max="10241" width="6.7109375" style="367" customWidth="1"/>
    <col min="10242" max="10247" width="9.140625" style="367"/>
    <col min="10248" max="10248" width="16.5703125" style="367" customWidth="1"/>
    <col min="10249" max="10250" width="9.140625" style="367"/>
    <col min="10251" max="10251" width="9.42578125" style="367" customWidth="1"/>
    <col min="10252" max="10496" width="9.140625" style="367"/>
    <col min="10497" max="10497" width="6.7109375" style="367" customWidth="1"/>
    <col min="10498" max="10503" width="9.140625" style="367"/>
    <col min="10504" max="10504" width="16.5703125" style="367" customWidth="1"/>
    <col min="10505" max="10506" width="9.140625" style="367"/>
    <col min="10507" max="10507" width="9.42578125" style="367" customWidth="1"/>
    <col min="10508" max="10752" width="9.140625" style="367"/>
    <col min="10753" max="10753" width="6.7109375" style="367" customWidth="1"/>
    <col min="10754" max="10759" width="9.140625" style="367"/>
    <col min="10760" max="10760" width="16.5703125" style="367" customWidth="1"/>
    <col min="10761" max="10762" width="9.140625" style="367"/>
    <col min="10763" max="10763" width="9.42578125" style="367" customWidth="1"/>
    <col min="10764" max="11008" width="9.140625" style="367"/>
    <col min="11009" max="11009" width="6.7109375" style="367" customWidth="1"/>
    <col min="11010" max="11015" width="9.140625" style="367"/>
    <col min="11016" max="11016" width="16.5703125" style="367" customWidth="1"/>
    <col min="11017" max="11018" width="9.140625" style="367"/>
    <col min="11019" max="11019" width="9.42578125" style="367" customWidth="1"/>
    <col min="11020" max="11264" width="9.140625" style="367"/>
    <col min="11265" max="11265" width="6.7109375" style="367" customWidth="1"/>
    <col min="11266" max="11271" width="9.140625" style="367"/>
    <col min="11272" max="11272" width="16.5703125" style="367" customWidth="1"/>
    <col min="11273" max="11274" width="9.140625" style="367"/>
    <col min="11275" max="11275" width="9.42578125" style="367" customWidth="1"/>
    <col min="11276" max="11520" width="9.140625" style="367"/>
    <col min="11521" max="11521" width="6.7109375" style="367" customWidth="1"/>
    <col min="11522" max="11527" width="9.140625" style="367"/>
    <col min="11528" max="11528" width="16.5703125" style="367" customWidth="1"/>
    <col min="11529" max="11530" width="9.140625" style="367"/>
    <col min="11531" max="11531" width="9.42578125" style="367" customWidth="1"/>
    <col min="11532" max="11776" width="9.140625" style="367"/>
    <col min="11777" max="11777" width="6.7109375" style="367" customWidth="1"/>
    <col min="11778" max="11783" width="9.140625" style="367"/>
    <col min="11784" max="11784" width="16.5703125" style="367" customWidth="1"/>
    <col min="11785" max="11786" width="9.140625" style="367"/>
    <col min="11787" max="11787" width="9.42578125" style="367" customWidth="1"/>
    <col min="11788" max="12032" width="9.140625" style="367"/>
    <col min="12033" max="12033" width="6.7109375" style="367" customWidth="1"/>
    <col min="12034" max="12039" width="9.140625" style="367"/>
    <col min="12040" max="12040" width="16.5703125" style="367" customWidth="1"/>
    <col min="12041" max="12042" width="9.140625" style="367"/>
    <col min="12043" max="12043" width="9.42578125" style="367" customWidth="1"/>
    <col min="12044" max="12288" width="9.140625" style="367"/>
    <col min="12289" max="12289" width="6.7109375" style="367" customWidth="1"/>
    <col min="12290" max="12295" width="9.140625" style="367"/>
    <col min="12296" max="12296" width="16.5703125" style="367" customWidth="1"/>
    <col min="12297" max="12298" width="9.140625" style="367"/>
    <col min="12299" max="12299" width="9.42578125" style="367" customWidth="1"/>
    <col min="12300" max="12544" width="9.140625" style="367"/>
    <col min="12545" max="12545" width="6.7109375" style="367" customWidth="1"/>
    <col min="12546" max="12551" width="9.140625" style="367"/>
    <col min="12552" max="12552" width="16.5703125" style="367" customWidth="1"/>
    <col min="12553" max="12554" width="9.140625" style="367"/>
    <col min="12555" max="12555" width="9.42578125" style="367" customWidth="1"/>
    <col min="12556" max="12800" width="9.140625" style="367"/>
    <col min="12801" max="12801" width="6.7109375" style="367" customWidth="1"/>
    <col min="12802" max="12807" width="9.140625" style="367"/>
    <col min="12808" max="12808" width="16.5703125" style="367" customWidth="1"/>
    <col min="12809" max="12810" width="9.140625" style="367"/>
    <col min="12811" max="12811" width="9.42578125" style="367" customWidth="1"/>
    <col min="12812" max="13056" width="9.140625" style="367"/>
    <col min="13057" max="13057" width="6.7109375" style="367" customWidth="1"/>
    <col min="13058" max="13063" width="9.140625" style="367"/>
    <col min="13064" max="13064" width="16.5703125" style="367" customWidth="1"/>
    <col min="13065" max="13066" width="9.140625" style="367"/>
    <col min="13067" max="13067" width="9.42578125" style="367" customWidth="1"/>
    <col min="13068" max="13312" width="9.140625" style="367"/>
    <col min="13313" max="13313" width="6.7109375" style="367" customWidth="1"/>
    <col min="13314" max="13319" width="9.140625" style="367"/>
    <col min="13320" max="13320" width="16.5703125" style="367" customWidth="1"/>
    <col min="13321" max="13322" width="9.140625" style="367"/>
    <col min="13323" max="13323" width="9.42578125" style="367" customWidth="1"/>
    <col min="13324" max="13568" width="9.140625" style="367"/>
    <col min="13569" max="13569" width="6.7109375" style="367" customWidth="1"/>
    <col min="13570" max="13575" width="9.140625" style="367"/>
    <col min="13576" max="13576" width="16.5703125" style="367" customWidth="1"/>
    <col min="13577" max="13578" width="9.140625" style="367"/>
    <col min="13579" max="13579" width="9.42578125" style="367" customWidth="1"/>
    <col min="13580" max="13824" width="9.140625" style="367"/>
    <col min="13825" max="13825" width="6.7109375" style="367" customWidth="1"/>
    <col min="13826" max="13831" width="9.140625" style="367"/>
    <col min="13832" max="13832" width="16.5703125" style="367" customWidth="1"/>
    <col min="13833" max="13834" width="9.140625" style="367"/>
    <col min="13835" max="13835" width="9.42578125" style="367" customWidth="1"/>
    <col min="13836" max="14080" width="9.140625" style="367"/>
    <col min="14081" max="14081" width="6.7109375" style="367" customWidth="1"/>
    <col min="14082" max="14087" width="9.140625" style="367"/>
    <col min="14088" max="14088" width="16.5703125" style="367" customWidth="1"/>
    <col min="14089" max="14090" width="9.140625" style="367"/>
    <col min="14091" max="14091" width="9.42578125" style="367" customWidth="1"/>
    <col min="14092" max="14336" width="9.140625" style="367"/>
    <col min="14337" max="14337" width="6.7109375" style="367" customWidth="1"/>
    <col min="14338" max="14343" width="9.140625" style="367"/>
    <col min="14344" max="14344" width="16.5703125" style="367" customWidth="1"/>
    <col min="14345" max="14346" width="9.140625" style="367"/>
    <col min="14347" max="14347" width="9.42578125" style="367" customWidth="1"/>
    <col min="14348" max="14592" width="9.140625" style="367"/>
    <col min="14593" max="14593" width="6.7109375" style="367" customWidth="1"/>
    <col min="14594" max="14599" width="9.140625" style="367"/>
    <col min="14600" max="14600" width="16.5703125" style="367" customWidth="1"/>
    <col min="14601" max="14602" width="9.140625" style="367"/>
    <col min="14603" max="14603" width="9.42578125" style="367" customWidth="1"/>
    <col min="14604" max="14848" width="9.140625" style="367"/>
    <col min="14849" max="14849" width="6.7109375" style="367" customWidth="1"/>
    <col min="14850" max="14855" width="9.140625" style="367"/>
    <col min="14856" max="14856" width="16.5703125" style="367" customWidth="1"/>
    <col min="14857" max="14858" width="9.140625" style="367"/>
    <col min="14859" max="14859" width="9.42578125" style="367" customWidth="1"/>
    <col min="14860" max="15104" width="9.140625" style="367"/>
    <col min="15105" max="15105" width="6.7109375" style="367" customWidth="1"/>
    <col min="15106" max="15111" width="9.140625" style="367"/>
    <col min="15112" max="15112" width="16.5703125" style="367" customWidth="1"/>
    <col min="15113" max="15114" width="9.140625" style="367"/>
    <col min="15115" max="15115" width="9.42578125" style="367" customWidth="1"/>
    <col min="15116" max="15360" width="9.140625" style="367"/>
    <col min="15361" max="15361" width="6.7109375" style="367" customWidth="1"/>
    <col min="15362" max="15367" width="9.140625" style="367"/>
    <col min="15368" max="15368" width="16.5703125" style="367" customWidth="1"/>
    <col min="15369" max="15370" width="9.140625" style="367"/>
    <col min="15371" max="15371" width="9.42578125" style="367" customWidth="1"/>
    <col min="15372" max="15616" width="9.140625" style="367"/>
    <col min="15617" max="15617" width="6.7109375" style="367" customWidth="1"/>
    <col min="15618" max="15623" width="9.140625" style="367"/>
    <col min="15624" max="15624" width="16.5703125" style="367" customWidth="1"/>
    <col min="15625" max="15626" width="9.140625" style="367"/>
    <col min="15627" max="15627" width="9.42578125" style="367" customWidth="1"/>
    <col min="15628" max="15872" width="9.140625" style="367"/>
    <col min="15873" max="15873" width="6.7109375" style="367" customWidth="1"/>
    <col min="15874" max="15879" width="9.140625" style="367"/>
    <col min="15880" max="15880" width="16.5703125" style="367" customWidth="1"/>
    <col min="15881" max="15882" width="9.140625" style="367"/>
    <col min="15883" max="15883" width="9.42578125" style="367" customWidth="1"/>
    <col min="15884" max="16128" width="9.140625" style="367"/>
    <col min="16129" max="16129" width="6.7109375" style="367" customWidth="1"/>
    <col min="16130" max="16135" width="9.140625" style="367"/>
    <col min="16136" max="16136" width="16.5703125" style="367" customWidth="1"/>
    <col min="16137" max="16138" width="9.140625" style="367"/>
    <col min="16139" max="16139" width="9.42578125" style="367" customWidth="1"/>
    <col min="16140" max="16384" width="9.140625" style="367"/>
  </cols>
  <sheetData>
    <row r="4" spans="2:3" ht="20.25">
      <c r="C4" s="373" t="s">
        <v>727</v>
      </c>
    </row>
    <row r="5" spans="2:3" ht="20.25">
      <c r="C5" s="373"/>
    </row>
    <row r="6" spans="2:3" ht="20.25">
      <c r="C6" s="373"/>
    </row>
    <row r="7" spans="2:3" ht="20.25">
      <c r="C7" s="373"/>
    </row>
    <row r="10" spans="2:3">
      <c r="B10" s="367" t="s">
        <v>728</v>
      </c>
    </row>
    <row r="12" spans="2:3">
      <c r="B12" s="367" t="s">
        <v>729</v>
      </c>
    </row>
    <row r="13" spans="2:3">
      <c r="B13" s="367" t="s">
        <v>730</v>
      </c>
    </row>
    <row r="14" spans="2:3">
      <c r="B14" s="367" t="s">
        <v>731</v>
      </c>
    </row>
    <row r="17" spans="2:8">
      <c r="B17" s="367" t="s">
        <v>732</v>
      </c>
      <c r="H17" s="375">
        <v>656922025</v>
      </c>
    </row>
    <row r="18" spans="2:8">
      <c r="B18" s="367" t="s">
        <v>733</v>
      </c>
      <c r="H18" s="374">
        <v>16302833</v>
      </c>
    </row>
    <row r="19" spans="2:8">
      <c r="B19" s="367" t="s">
        <v>734</v>
      </c>
      <c r="H19" s="374">
        <f>+[1]PI!H14</f>
        <v>33836909</v>
      </c>
    </row>
    <row r="20" spans="2:8">
      <c r="B20" s="367" t="s">
        <v>735</v>
      </c>
      <c r="H20" s="374">
        <f>+[1]PI!H18</f>
        <v>11746581</v>
      </c>
    </row>
    <row r="21" spans="2:8">
      <c r="B21" s="367" t="s">
        <v>736</v>
      </c>
    </row>
    <row r="22" spans="2:8">
      <c r="B22" s="367" t="s">
        <v>737</v>
      </c>
    </row>
    <row r="23" spans="2:8">
      <c r="B23" s="367" t="s">
        <v>738</v>
      </c>
    </row>
    <row r="24" spans="2:8">
      <c r="B24" s="367" t="s">
        <v>739</v>
      </c>
      <c r="H24" s="374">
        <f>+[1]PI!H17</f>
        <v>10300654</v>
      </c>
    </row>
    <row r="25" spans="2:8">
      <c r="B25" s="376" t="s">
        <v>740</v>
      </c>
      <c r="C25" s="377"/>
      <c r="D25" s="377"/>
      <c r="E25" s="377"/>
      <c r="F25" s="377"/>
      <c r="G25" s="377"/>
      <c r="H25" s="378">
        <f>SUM(H17:H24)</f>
        <v>729109002</v>
      </c>
    </row>
    <row r="27" spans="2:8">
      <c r="B27" s="367" t="s">
        <v>741</v>
      </c>
    </row>
    <row r="28" spans="2:8">
      <c r="B28" s="367" t="s">
        <v>742</v>
      </c>
    </row>
    <row r="29" spans="2:8">
      <c r="B29" s="367" t="s">
        <v>743</v>
      </c>
    </row>
    <row r="30" spans="2:8">
      <c r="B30" s="367" t="s">
        <v>744</v>
      </c>
    </row>
    <row r="31" spans="2:8">
      <c r="B31" s="367" t="s">
        <v>745</v>
      </c>
    </row>
    <row r="32" spans="2:8">
      <c r="B32" s="367" t="s">
        <v>746</v>
      </c>
    </row>
    <row r="36" spans="8:8">
      <c r="H36" s="374" t="s">
        <v>747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1"/>
  <sheetViews>
    <sheetView topLeftCell="A16" workbookViewId="0">
      <selection activeCell="E23" sqref="E23"/>
    </sheetView>
  </sheetViews>
  <sheetFormatPr defaultRowHeight="14.25" customHeight="1"/>
  <cols>
    <col min="1" max="1" width="5.140625" style="100" customWidth="1"/>
    <col min="2" max="2" width="48.7109375" style="100" customWidth="1"/>
    <col min="3" max="3" width="9.140625" style="100"/>
    <col min="4" max="6" width="14.85546875" style="100" customWidth="1"/>
    <col min="7" max="7" width="16.42578125" style="100" customWidth="1"/>
    <col min="8" max="8" width="4" style="100" customWidth="1"/>
    <col min="9" max="9" width="10.7109375" style="100" bestFit="1" customWidth="1"/>
    <col min="10" max="256" width="9.140625" style="100"/>
    <col min="257" max="257" width="5.140625" style="100" customWidth="1"/>
    <col min="258" max="258" width="48.7109375" style="100" customWidth="1"/>
    <col min="259" max="259" width="9.140625" style="100"/>
    <col min="260" max="262" width="14.85546875" style="100" customWidth="1"/>
    <col min="263" max="263" width="16.42578125" style="100" customWidth="1"/>
    <col min="264" max="264" width="4" style="100" customWidth="1"/>
    <col min="265" max="265" width="10.7109375" style="100" bestFit="1" customWidth="1"/>
    <col min="266" max="512" width="9.140625" style="100"/>
    <col min="513" max="513" width="5.140625" style="100" customWidth="1"/>
    <col min="514" max="514" width="48.7109375" style="100" customWidth="1"/>
    <col min="515" max="515" width="9.140625" style="100"/>
    <col min="516" max="518" width="14.85546875" style="100" customWidth="1"/>
    <col min="519" max="519" width="16.42578125" style="100" customWidth="1"/>
    <col min="520" max="520" width="4" style="100" customWidth="1"/>
    <col min="521" max="521" width="10.7109375" style="100" bestFit="1" customWidth="1"/>
    <col min="522" max="768" width="9.140625" style="100"/>
    <col min="769" max="769" width="5.140625" style="100" customWidth="1"/>
    <col min="770" max="770" width="48.7109375" style="100" customWidth="1"/>
    <col min="771" max="771" width="9.140625" style="100"/>
    <col min="772" max="774" width="14.85546875" style="100" customWidth="1"/>
    <col min="775" max="775" width="16.42578125" style="100" customWidth="1"/>
    <col min="776" max="776" width="4" style="100" customWidth="1"/>
    <col min="777" max="777" width="10.7109375" style="100" bestFit="1" customWidth="1"/>
    <col min="778" max="1024" width="9.140625" style="100"/>
    <col min="1025" max="1025" width="5.140625" style="100" customWidth="1"/>
    <col min="1026" max="1026" width="48.7109375" style="100" customWidth="1"/>
    <col min="1027" max="1027" width="9.140625" style="100"/>
    <col min="1028" max="1030" width="14.85546875" style="100" customWidth="1"/>
    <col min="1031" max="1031" width="16.42578125" style="100" customWidth="1"/>
    <col min="1032" max="1032" width="4" style="100" customWidth="1"/>
    <col min="1033" max="1033" width="10.7109375" style="100" bestFit="1" customWidth="1"/>
    <col min="1034" max="1280" width="9.140625" style="100"/>
    <col min="1281" max="1281" width="5.140625" style="100" customWidth="1"/>
    <col min="1282" max="1282" width="48.7109375" style="100" customWidth="1"/>
    <col min="1283" max="1283" width="9.140625" style="100"/>
    <col min="1284" max="1286" width="14.85546875" style="100" customWidth="1"/>
    <col min="1287" max="1287" width="16.42578125" style="100" customWidth="1"/>
    <col min="1288" max="1288" width="4" style="100" customWidth="1"/>
    <col min="1289" max="1289" width="10.7109375" style="100" bestFit="1" customWidth="1"/>
    <col min="1290" max="1536" width="9.140625" style="100"/>
    <col min="1537" max="1537" width="5.140625" style="100" customWidth="1"/>
    <col min="1538" max="1538" width="48.7109375" style="100" customWidth="1"/>
    <col min="1539" max="1539" width="9.140625" style="100"/>
    <col min="1540" max="1542" width="14.85546875" style="100" customWidth="1"/>
    <col min="1543" max="1543" width="16.42578125" style="100" customWidth="1"/>
    <col min="1544" max="1544" width="4" style="100" customWidth="1"/>
    <col min="1545" max="1545" width="10.7109375" style="100" bestFit="1" customWidth="1"/>
    <col min="1546" max="1792" width="9.140625" style="100"/>
    <col min="1793" max="1793" width="5.140625" style="100" customWidth="1"/>
    <col min="1794" max="1794" width="48.7109375" style="100" customWidth="1"/>
    <col min="1795" max="1795" width="9.140625" style="100"/>
    <col min="1796" max="1798" width="14.85546875" style="100" customWidth="1"/>
    <col min="1799" max="1799" width="16.42578125" style="100" customWidth="1"/>
    <col min="1800" max="1800" width="4" style="100" customWidth="1"/>
    <col min="1801" max="1801" width="10.7109375" style="100" bestFit="1" customWidth="1"/>
    <col min="1802" max="2048" width="9.140625" style="100"/>
    <col min="2049" max="2049" width="5.140625" style="100" customWidth="1"/>
    <col min="2050" max="2050" width="48.7109375" style="100" customWidth="1"/>
    <col min="2051" max="2051" width="9.140625" style="100"/>
    <col min="2052" max="2054" width="14.85546875" style="100" customWidth="1"/>
    <col min="2055" max="2055" width="16.42578125" style="100" customWidth="1"/>
    <col min="2056" max="2056" width="4" style="100" customWidth="1"/>
    <col min="2057" max="2057" width="10.7109375" style="100" bestFit="1" customWidth="1"/>
    <col min="2058" max="2304" width="9.140625" style="100"/>
    <col min="2305" max="2305" width="5.140625" style="100" customWidth="1"/>
    <col min="2306" max="2306" width="48.7109375" style="100" customWidth="1"/>
    <col min="2307" max="2307" width="9.140625" style="100"/>
    <col min="2308" max="2310" width="14.85546875" style="100" customWidth="1"/>
    <col min="2311" max="2311" width="16.42578125" style="100" customWidth="1"/>
    <col min="2312" max="2312" width="4" style="100" customWidth="1"/>
    <col min="2313" max="2313" width="10.7109375" style="100" bestFit="1" customWidth="1"/>
    <col min="2314" max="2560" width="9.140625" style="100"/>
    <col min="2561" max="2561" width="5.140625" style="100" customWidth="1"/>
    <col min="2562" max="2562" width="48.7109375" style="100" customWidth="1"/>
    <col min="2563" max="2563" width="9.140625" style="100"/>
    <col min="2564" max="2566" width="14.85546875" style="100" customWidth="1"/>
    <col min="2567" max="2567" width="16.42578125" style="100" customWidth="1"/>
    <col min="2568" max="2568" width="4" style="100" customWidth="1"/>
    <col min="2569" max="2569" width="10.7109375" style="100" bestFit="1" customWidth="1"/>
    <col min="2570" max="2816" width="9.140625" style="100"/>
    <col min="2817" max="2817" width="5.140625" style="100" customWidth="1"/>
    <col min="2818" max="2818" width="48.7109375" style="100" customWidth="1"/>
    <col min="2819" max="2819" width="9.140625" style="100"/>
    <col min="2820" max="2822" width="14.85546875" style="100" customWidth="1"/>
    <col min="2823" max="2823" width="16.42578125" style="100" customWidth="1"/>
    <col min="2824" max="2824" width="4" style="100" customWidth="1"/>
    <col min="2825" max="2825" width="10.7109375" style="100" bestFit="1" customWidth="1"/>
    <col min="2826" max="3072" width="9.140625" style="100"/>
    <col min="3073" max="3073" width="5.140625" style="100" customWidth="1"/>
    <col min="3074" max="3074" width="48.7109375" style="100" customWidth="1"/>
    <col min="3075" max="3075" width="9.140625" style="100"/>
    <col min="3076" max="3078" width="14.85546875" style="100" customWidth="1"/>
    <col min="3079" max="3079" width="16.42578125" style="100" customWidth="1"/>
    <col min="3080" max="3080" width="4" style="100" customWidth="1"/>
    <col min="3081" max="3081" width="10.7109375" style="100" bestFit="1" customWidth="1"/>
    <col min="3082" max="3328" width="9.140625" style="100"/>
    <col min="3329" max="3329" width="5.140625" style="100" customWidth="1"/>
    <col min="3330" max="3330" width="48.7109375" style="100" customWidth="1"/>
    <col min="3331" max="3331" width="9.140625" style="100"/>
    <col min="3332" max="3334" width="14.85546875" style="100" customWidth="1"/>
    <col min="3335" max="3335" width="16.42578125" style="100" customWidth="1"/>
    <col min="3336" max="3336" width="4" style="100" customWidth="1"/>
    <col min="3337" max="3337" width="10.7109375" style="100" bestFit="1" customWidth="1"/>
    <col min="3338" max="3584" width="9.140625" style="100"/>
    <col min="3585" max="3585" width="5.140625" style="100" customWidth="1"/>
    <col min="3586" max="3586" width="48.7109375" style="100" customWidth="1"/>
    <col min="3587" max="3587" width="9.140625" style="100"/>
    <col min="3588" max="3590" width="14.85546875" style="100" customWidth="1"/>
    <col min="3591" max="3591" width="16.42578125" style="100" customWidth="1"/>
    <col min="3592" max="3592" width="4" style="100" customWidth="1"/>
    <col min="3593" max="3593" width="10.7109375" style="100" bestFit="1" customWidth="1"/>
    <col min="3594" max="3840" width="9.140625" style="100"/>
    <col min="3841" max="3841" width="5.140625" style="100" customWidth="1"/>
    <col min="3842" max="3842" width="48.7109375" style="100" customWidth="1"/>
    <col min="3843" max="3843" width="9.140625" style="100"/>
    <col min="3844" max="3846" width="14.85546875" style="100" customWidth="1"/>
    <col min="3847" max="3847" width="16.42578125" style="100" customWidth="1"/>
    <col min="3848" max="3848" width="4" style="100" customWidth="1"/>
    <col min="3849" max="3849" width="10.7109375" style="100" bestFit="1" customWidth="1"/>
    <col min="3850" max="4096" width="9.140625" style="100"/>
    <col min="4097" max="4097" width="5.140625" style="100" customWidth="1"/>
    <col min="4098" max="4098" width="48.7109375" style="100" customWidth="1"/>
    <col min="4099" max="4099" width="9.140625" style="100"/>
    <col min="4100" max="4102" width="14.85546875" style="100" customWidth="1"/>
    <col min="4103" max="4103" width="16.42578125" style="100" customWidth="1"/>
    <col min="4104" max="4104" width="4" style="100" customWidth="1"/>
    <col min="4105" max="4105" width="10.7109375" style="100" bestFit="1" customWidth="1"/>
    <col min="4106" max="4352" width="9.140625" style="100"/>
    <col min="4353" max="4353" width="5.140625" style="100" customWidth="1"/>
    <col min="4354" max="4354" width="48.7109375" style="100" customWidth="1"/>
    <col min="4355" max="4355" width="9.140625" style="100"/>
    <col min="4356" max="4358" width="14.85546875" style="100" customWidth="1"/>
    <col min="4359" max="4359" width="16.42578125" style="100" customWidth="1"/>
    <col min="4360" max="4360" width="4" style="100" customWidth="1"/>
    <col min="4361" max="4361" width="10.7109375" style="100" bestFit="1" customWidth="1"/>
    <col min="4362" max="4608" width="9.140625" style="100"/>
    <col min="4609" max="4609" width="5.140625" style="100" customWidth="1"/>
    <col min="4610" max="4610" width="48.7109375" style="100" customWidth="1"/>
    <col min="4611" max="4611" width="9.140625" style="100"/>
    <col min="4612" max="4614" width="14.85546875" style="100" customWidth="1"/>
    <col min="4615" max="4615" width="16.42578125" style="100" customWidth="1"/>
    <col min="4616" max="4616" width="4" style="100" customWidth="1"/>
    <col min="4617" max="4617" width="10.7109375" style="100" bestFit="1" customWidth="1"/>
    <col min="4618" max="4864" width="9.140625" style="100"/>
    <col min="4865" max="4865" width="5.140625" style="100" customWidth="1"/>
    <col min="4866" max="4866" width="48.7109375" style="100" customWidth="1"/>
    <col min="4867" max="4867" width="9.140625" style="100"/>
    <col min="4868" max="4870" width="14.85546875" style="100" customWidth="1"/>
    <col min="4871" max="4871" width="16.42578125" style="100" customWidth="1"/>
    <col min="4872" max="4872" width="4" style="100" customWidth="1"/>
    <col min="4873" max="4873" width="10.7109375" style="100" bestFit="1" customWidth="1"/>
    <col min="4874" max="5120" width="9.140625" style="100"/>
    <col min="5121" max="5121" width="5.140625" style="100" customWidth="1"/>
    <col min="5122" max="5122" width="48.7109375" style="100" customWidth="1"/>
    <col min="5123" max="5123" width="9.140625" style="100"/>
    <col min="5124" max="5126" width="14.85546875" style="100" customWidth="1"/>
    <col min="5127" max="5127" width="16.42578125" style="100" customWidth="1"/>
    <col min="5128" max="5128" width="4" style="100" customWidth="1"/>
    <col min="5129" max="5129" width="10.7109375" style="100" bestFit="1" customWidth="1"/>
    <col min="5130" max="5376" width="9.140625" style="100"/>
    <col min="5377" max="5377" width="5.140625" style="100" customWidth="1"/>
    <col min="5378" max="5378" width="48.7109375" style="100" customWidth="1"/>
    <col min="5379" max="5379" width="9.140625" style="100"/>
    <col min="5380" max="5382" width="14.85546875" style="100" customWidth="1"/>
    <col min="5383" max="5383" width="16.42578125" style="100" customWidth="1"/>
    <col min="5384" max="5384" width="4" style="100" customWidth="1"/>
    <col min="5385" max="5385" width="10.7109375" style="100" bestFit="1" customWidth="1"/>
    <col min="5386" max="5632" width="9.140625" style="100"/>
    <col min="5633" max="5633" width="5.140625" style="100" customWidth="1"/>
    <col min="5634" max="5634" width="48.7109375" style="100" customWidth="1"/>
    <col min="5635" max="5635" width="9.140625" style="100"/>
    <col min="5636" max="5638" width="14.85546875" style="100" customWidth="1"/>
    <col min="5639" max="5639" width="16.42578125" style="100" customWidth="1"/>
    <col min="5640" max="5640" width="4" style="100" customWidth="1"/>
    <col min="5641" max="5641" width="10.7109375" style="100" bestFit="1" customWidth="1"/>
    <col min="5642" max="5888" width="9.140625" style="100"/>
    <col min="5889" max="5889" width="5.140625" style="100" customWidth="1"/>
    <col min="5890" max="5890" width="48.7109375" style="100" customWidth="1"/>
    <col min="5891" max="5891" width="9.140625" style="100"/>
    <col min="5892" max="5894" width="14.85546875" style="100" customWidth="1"/>
    <col min="5895" max="5895" width="16.42578125" style="100" customWidth="1"/>
    <col min="5896" max="5896" width="4" style="100" customWidth="1"/>
    <col min="5897" max="5897" width="10.7109375" style="100" bestFit="1" customWidth="1"/>
    <col min="5898" max="6144" width="9.140625" style="100"/>
    <col min="6145" max="6145" width="5.140625" style="100" customWidth="1"/>
    <col min="6146" max="6146" width="48.7109375" style="100" customWidth="1"/>
    <col min="6147" max="6147" width="9.140625" style="100"/>
    <col min="6148" max="6150" width="14.85546875" style="100" customWidth="1"/>
    <col min="6151" max="6151" width="16.42578125" style="100" customWidth="1"/>
    <col min="6152" max="6152" width="4" style="100" customWidth="1"/>
    <col min="6153" max="6153" width="10.7109375" style="100" bestFit="1" customWidth="1"/>
    <col min="6154" max="6400" width="9.140625" style="100"/>
    <col min="6401" max="6401" width="5.140625" style="100" customWidth="1"/>
    <col min="6402" max="6402" width="48.7109375" style="100" customWidth="1"/>
    <col min="6403" max="6403" width="9.140625" style="100"/>
    <col min="6404" max="6406" width="14.85546875" style="100" customWidth="1"/>
    <col min="6407" max="6407" width="16.42578125" style="100" customWidth="1"/>
    <col min="6408" max="6408" width="4" style="100" customWidth="1"/>
    <col min="6409" max="6409" width="10.7109375" style="100" bestFit="1" customWidth="1"/>
    <col min="6410" max="6656" width="9.140625" style="100"/>
    <col min="6657" max="6657" width="5.140625" style="100" customWidth="1"/>
    <col min="6658" max="6658" width="48.7109375" style="100" customWidth="1"/>
    <col min="6659" max="6659" width="9.140625" style="100"/>
    <col min="6660" max="6662" width="14.85546875" style="100" customWidth="1"/>
    <col min="6663" max="6663" width="16.42578125" style="100" customWidth="1"/>
    <col min="6664" max="6664" width="4" style="100" customWidth="1"/>
    <col min="6665" max="6665" width="10.7109375" style="100" bestFit="1" customWidth="1"/>
    <col min="6666" max="6912" width="9.140625" style="100"/>
    <col min="6913" max="6913" width="5.140625" style="100" customWidth="1"/>
    <col min="6914" max="6914" width="48.7109375" style="100" customWidth="1"/>
    <col min="6915" max="6915" width="9.140625" style="100"/>
    <col min="6916" max="6918" width="14.85546875" style="100" customWidth="1"/>
    <col min="6919" max="6919" width="16.42578125" style="100" customWidth="1"/>
    <col min="6920" max="6920" width="4" style="100" customWidth="1"/>
    <col min="6921" max="6921" width="10.7109375" style="100" bestFit="1" customWidth="1"/>
    <col min="6922" max="7168" width="9.140625" style="100"/>
    <col min="7169" max="7169" width="5.140625" style="100" customWidth="1"/>
    <col min="7170" max="7170" width="48.7109375" style="100" customWidth="1"/>
    <col min="7171" max="7171" width="9.140625" style="100"/>
    <col min="7172" max="7174" width="14.85546875" style="100" customWidth="1"/>
    <col min="7175" max="7175" width="16.42578125" style="100" customWidth="1"/>
    <col min="7176" max="7176" width="4" style="100" customWidth="1"/>
    <col min="7177" max="7177" width="10.7109375" style="100" bestFit="1" customWidth="1"/>
    <col min="7178" max="7424" width="9.140625" style="100"/>
    <col min="7425" max="7425" width="5.140625" style="100" customWidth="1"/>
    <col min="7426" max="7426" width="48.7109375" style="100" customWidth="1"/>
    <col min="7427" max="7427" width="9.140625" style="100"/>
    <col min="7428" max="7430" width="14.85546875" style="100" customWidth="1"/>
    <col min="7431" max="7431" width="16.42578125" style="100" customWidth="1"/>
    <col min="7432" max="7432" width="4" style="100" customWidth="1"/>
    <col min="7433" max="7433" width="10.7109375" style="100" bestFit="1" customWidth="1"/>
    <col min="7434" max="7680" width="9.140625" style="100"/>
    <col min="7681" max="7681" width="5.140625" style="100" customWidth="1"/>
    <col min="7682" max="7682" width="48.7109375" style="100" customWidth="1"/>
    <col min="7683" max="7683" width="9.140625" style="100"/>
    <col min="7684" max="7686" width="14.85546875" style="100" customWidth="1"/>
    <col min="7687" max="7687" width="16.42578125" style="100" customWidth="1"/>
    <col min="7688" max="7688" width="4" style="100" customWidth="1"/>
    <col min="7689" max="7689" width="10.7109375" style="100" bestFit="1" customWidth="1"/>
    <col min="7690" max="7936" width="9.140625" style="100"/>
    <col min="7937" max="7937" width="5.140625" style="100" customWidth="1"/>
    <col min="7938" max="7938" width="48.7109375" style="100" customWidth="1"/>
    <col min="7939" max="7939" width="9.140625" style="100"/>
    <col min="7940" max="7942" width="14.85546875" style="100" customWidth="1"/>
    <col min="7943" max="7943" width="16.42578125" style="100" customWidth="1"/>
    <col min="7944" max="7944" width="4" style="100" customWidth="1"/>
    <col min="7945" max="7945" width="10.7109375" style="100" bestFit="1" customWidth="1"/>
    <col min="7946" max="8192" width="9.140625" style="100"/>
    <col min="8193" max="8193" width="5.140625" style="100" customWidth="1"/>
    <col min="8194" max="8194" width="48.7109375" style="100" customWidth="1"/>
    <col min="8195" max="8195" width="9.140625" style="100"/>
    <col min="8196" max="8198" width="14.85546875" style="100" customWidth="1"/>
    <col min="8199" max="8199" width="16.42578125" style="100" customWidth="1"/>
    <col min="8200" max="8200" width="4" style="100" customWidth="1"/>
    <col min="8201" max="8201" width="10.7109375" style="100" bestFit="1" customWidth="1"/>
    <col min="8202" max="8448" width="9.140625" style="100"/>
    <col min="8449" max="8449" width="5.140625" style="100" customWidth="1"/>
    <col min="8450" max="8450" width="48.7109375" style="100" customWidth="1"/>
    <col min="8451" max="8451" width="9.140625" style="100"/>
    <col min="8452" max="8454" width="14.85546875" style="100" customWidth="1"/>
    <col min="8455" max="8455" width="16.42578125" style="100" customWidth="1"/>
    <col min="8456" max="8456" width="4" style="100" customWidth="1"/>
    <col min="8457" max="8457" width="10.7109375" style="100" bestFit="1" customWidth="1"/>
    <col min="8458" max="8704" width="9.140625" style="100"/>
    <col min="8705" max="8705" width="5.140625" style="100" customWidth="1"/>
    <col min="8706" max="8706" width="48.7109375" style="100" customWidth="1"/>
    <col min="8707" max="8707" width="9.140625" style="100"/>
    <col min="8708" max="8710" width="14.85546875" style="100" customWidth="1"/>
    <col min="8711" max="8711" width="16.42578125" style="100" customWidth="1"/>
    <col min="8712" max="8712" width="4" style="100" customWidth="1"/>
    <col min="8713" max="8713" width="10.7109375" style="100" bestFit="1" customWidth="1"/>
    <col min="8714" max="8960" width="9.140625" style="100"/>
    <col min="8961" max="8961" width="5.140625" style="100" customWidth="1"/>
    <col min="8962" max="8962" width="48.7109375" style="100" customWidth="1"/>
    <col min="8963" max="8963" width="9.140625" style="100"/>
    <col min="8964" max="8966" width="14.85546875" style="100" customWidth="1"/>
    <col min="8967" max="8967" width="16.42578125" style="100" customWidth="1"/>
    <col min="8968" max="8968" width="4" style="100" customWidth="1"/>
    <col min="8969" max="8969" width="10.7109375" style="100" bestFit="1" customWidth="1"/>
    <col min="8970" max="9216" width="9.140625" style="100"/>
    <col min="9217" max="9217" width="5.140625" style="100" customWidth="1"/>
    <col min="9218" max="9218" width="48.7109375" style="100" customWidth="1"/>
    <col min="9219" max="9219" width="9.140625" style="100"/>
    <col min="9220" max="9222" width="14.85546875" style="100" customWidth="1"/>
    <col min="9223" max="9223" width="16.42578125" style="100" customWidth="1"/>
    <col min="9224" max="9224" width="4" style="100" customWidth="1"/>
    <col min="9225" max="9225" width="10.7109375" style="100" bestFit="1" customWidth="1"/>
    <col min="9226" max="9472" width="9.140625" style="100"/>
    <col min="9473" max="9473" width="5.140625" style="100" customWidth="1"/>
    <col min="9474" max="9474" width="48.7109375" style="100" customWidth="1"/>
    <col min="9475" max="9475" width="9.140625" style="100"/>
    <col min="9476" max="9478" width="14.85546875" style="100" customWidth="1"/>
    <col min="9479" max="9479" width="16.42578125" style="100" customWidth="1"/>
    <col min="9480" max="9480" width="4" style="100" customWidth="1"/>
    <col min="9481" max="9481" width="10.7109375" style="100" bestFit="1" customWidth="1"/>
    <col min="9482" max="9728" width="9.140625" style="100"/>
    <col min="9729" max="9729" width="5.140625" style="100" customWidth="1"/>
    <col min="9730" max="9730" width="48.7109375" style="100" customWidth="1"/>
    <col min="9731" max="9731" width="9.140625" style="100"/>
    <col min="9732" max="9734" width="14.85546875" style="100" customWidth="1"/>
    <col min="9735" max="9735" width="16.42578125" style="100" customWidth="1"/>
    <col min="9736" max="9736" width="4" style="100" customWidth="1"/>
    <col min="9737" max="9737" width="10.7109375" style="100" bestFit="1" customWidth="1"/>
    <col min="9738" max="9984" width="9.140625" style="100"/>
    <col min="9985" max="9985" width="5.140625" style="100" customWidth="1"/>
    <col min="9986" max="9986" width="48.7109375" style="100" customWidth="1"/>
    <col min="9987" max="9987" width="9.140625" style="100"/>
    <col min="9988" max="9990" width="14.85546875" style="100" customWidth="1"/>
    <col min="9991" max="9991" width="16.42578125" style="100" customWidth="1"/>
    <col min="9992" max="9992" width="4" style="100" customWidth="1"/>
    <col min="9993" max="9993" width="10.7109375" style="100" bestFit="1" customWidth="1"/>
    <col min="9994" max="10240" width="9.140625" style="100"/>
    <col min="10241" max="10241" width="5.140625" style="100" customWidth="1"/>
    <col min="10242" max="10242" width="48.7109375" style="100" customWidth="1"/>
    <col min="10243" max="10243" width="9.140625" style="100"/>
    <col min="10244" max="10246" width="14.85546875" style="100" customWidth="1"/>
    <col min="10247" max="10247" width="16.42578125" style="100" customWidth="1"/>
    <col min="10248" max="10248" width="4" style="100" customWidth="1"/>
    <col min="10249" max="10249" width="10.7109375" style="100" bestFit="1" customWidth="1"/>
    <col min="10250" max="10496" width="9.140625" style="100"/>
    <col min="10497" max="10497" width="5.140625" style="100" customWidth="1"/>
    <col min="10498" max="10498" width="48.7109375" style="100" customWidth="1"/>
    <col min="10499" max="10499" width="9.140625" style="100"/>
    <col min="10500" max="10502" width="14.85546875" style="100" customWidth="1"/>
    <col min="10503" max="10503" width="16.42578125" style="100" customWidth="1"/>
    <col min="10504" max="10504" width="4" style="100" customWidth="1"/>
    <col min="10505" max="10505" width="10.7109375" style="100" bestFit="1" customWidth="1"/>
    <col min="10506" max="10752" width="9.140625" style="100"/>
    <col min="10753" max="10753" width="5.140625" style="100" customWidth="1"/>
    <col min="10754" max="10754" width="48.7109375" style="100" customWidth="1"/>
    <col min="10755" max="10755" width="9.140625" style="100"/>
    <col min="10756" max="10758" width="14.85546875" style="100" customWidth="1"/>
    <col min="10759" max="10759" width="16.42578125" style="100" customWidth="1"/>
    <col min="10760" max="10760" width="4" style="100" customWidth="1"/>
    <col min="10761" max="10761" width="10.7109375" style="100" bestFit="1" customWidth="1"/>
    <col min="10762" max="11008" width="9.140625" style="100"/>
    <col min="11009" max="11009" width="5.140625" style="100" customWidth="1"/>
    <col min="11010" max="11010" width="48.7109375" style="100" customWidth="1"/>
    <col min="11011" max="11011" width="9.140625" style="100"/>
    <col min="11012" max="11014" width="14.85546875" style="100" customWidth="1"/>
    <col min="11015" max="11015" width="16.42578125" style="100" customWidth="1"/>
    <col min="11016" max="11016" width="4" style="100" customWidth="1"/>
    <col min="11017" max="11017" width="10.7109375" style="100" bestFit="1" customWidth="1"/>
    <col min="11018" max="11264" width="9.140625" style="100"/>
    <col min="11265" max="11265" width="5.140625" style="100" customWidth="1"/>
    <col min="11266" max="11266" width="48.7109375" style="100" customWidth="1"/>
    <col min="11267" max="11267" width="9.140625" style="100"/>
    <col min="11268" max="11270" width="14.85546875" style="100" customWidth="1"/>
    <col min="11271" max="11271" width="16.42578125" style="100" customWidth="1"/>
    <col min="11272" max="11272" width="4" style="100" customWidth="1"/>
    <col min="11273" max="11273" width="10.7109375" style="100" bestFit="1" customWidth="1"/>
    <col min="11274" max="11520" width="9.140625" style="100"/>
    <col min="11521" max="11521" width="5.140625" style="100" customWidth="1"/>
    <col min="11522" max="11522" width="48.7109375" style="100" customWidth="1"/>
    <col min="11523" max="11523" width="9.140625" style="100"/>
    <col min="11524" max="11526" width="14.85546875" style="100" customWidth="1"/>
    <col min="11527" max="11527" width="16.42578125" style="100" customWidth="1"/>
    <col min="11528" max="11528" width="4" style="100" customWidth="1"/>
    <col min="11529" max="11529" width="10.7109375" style="100" bestFit="1" customWidth="1"/>
    <col min="11530" max="11776" width="9.140625" style="100"/>
    <col min="11777" max="11777" width="5.140625" style="100" customWidth="1"/>
    <col min="11778" max="11778" width="48.7109375" style="100" customWidth="1"/>
    <col min="11779" max="11779" width="9.140625" style="100"/>
    <col min="11780" max="11782" width="14.85546875" style="100" customWidth="1"/>
    <col min="11783" max="11783" width="16.42578125" style="100" customWidth="1"/>
    <col min="11784" max="11784" width="4" style="100" customWidth="1"/>
    <col min="11785" max="11785" width="10.7109375" style="100" bestFit="1" customWidth="1"/>
    <col min="11786" max="12032" width="9.140625" style="100"/>
    <col min="12033" max="12033" width="5.140625" style="100" customWidth="1"/>
    <col min="12034" max="12034" width="48.7109375" style="100" customWidth="1"/>
    <col min="12035" max="12035" width="9.140625" style="100"/>
    <col min="12036" max="12038" width="14.85546875" style="100" customWidth="1"/>
    <col min="12039" max="12039" width="16.42578125" style="100" customWidth="1"/>
    <col min="12040" max="12040" width="4" style="100" customWidth="1"/>
    <col min="12041" max="12041" width="10.7109375" style="100" bestFit="1" customWidth="1"/>
    <col min="12042" max="12288" width="9.140625" style="100"/>
    <col min="12289" max="12289" width="5.140625" style="100" customWidth="1"/>
    <col min="12290" max="12290" width="48.7109375" style="100" customWidth="1"/>
    <col min="12291" max="12291" width="9.140625" style="100"/>
    <col min="12292" max="12294" width="14.85546875" style="100" customWidth="1"/>
    <col min="12295" max="12295" width="16.42578125" style="100" customWidth="1"/>
    <col min="12296" max="12296" width="4" style="100" customWidth="1"/>
    <col min="12297" max="12297" width="10.7109375" style="100" bestFit="1" customWidth="1"/>
    <col min="12298" max="12544" width="9.140625" style="100"/>
    <col min="12545" max="12545" width="5.140625" style="100" customWidth="1"/>
    <col min="12546" max="12546" width="48.7109375" style="100" customWidth="1"/>
    <col min="12547" max="12547" width="9.140625" style="100"/>
    <col min="12548" max="12550" width="14.85546875" style="100" customWidth="1"/>
    <col min="12551" max="12551" width="16.42578125" style="100" customWidth="1"/>
    <col min="12552" max="12552" width="4" style="100" customWidth="1"/>
    <col min="12553" max="12553" width="10.7109375" style="100" bestFit="1" customWidth="1"/>
    <col min="12554" max="12800" width="9.140625" style="100"/>
    <col min="12801" max="12801" width="5.140625" style="100" customWidth="1"/>
    <col min="12802" max="12802" width="48.7109375" style="100" customWidth="1"/>
    <col min="12803" max="12803" width="9.140625" style="100"/>
    <col min="12804" max="12806" width="14.85546875" style="100" customWidth="1"/>
    <col min="12807" max="12807" width="16.42578125" style="100" customWidth="1"/>
    <col min="12808" max="12808" width="4" style="100" customWidth="1"/>
    <col min="12809" max="12809" width="10.7109375" style="100" bestFit="1" customWidth="1"/>
    <col min="12810" max="13056" width="9.140625" style="100"/>
    <col min="13057" max="13057" width="5.140625" style="100" customWidth="1"/>
    <col min="13058" max="13058" width="48.7109375" style="100" customWidth="1"/>
    <col min="13059" max="13059" width="9.140625" style="100"/>
    <col min="13060" max="13062" width="14.85546875" style="100" customWidth="1"/>
    <col min="13063" max="13063" width="16.42578125" style="100" customWidth="1"/>
    <col min="13064" max="13064" width="4" style="100" customWidth="1"/>
    <col min="13065" max="13065" width="10.7109375" style="100" bestFit="1" customWidth="1"/>
    <col min="13066" max="13312" width="9.140625" style="100"/>
    <col min="13313" max="13313" width="5.140625" style="100" customWidth="1"/>
    <col min="13314" max="13314" width="48.7109375" style="100" customWidth="1"/>
    <col min="13315" max="13315" width="9.140625" style="100"/>
    <col min="13316" max="13318" width="14.85546875" style="100" customWidth="1"/>
    <col min="13319" max="13319" width="16.42578125" style="100" customWidth="1"/>
    <col min="13320" max="13320" width="4" style="100" customWidth="1"/>
    <col min="13321" max="13321" width="10.7109375" style="100" bestFit="1" customWidth="1"/>
    <col min="13322" max="13568" width="9.140625" style="100"/>
    <col min="13569" max="13569" width="5.140625" style="100" customWidth="1"/>
    <col min="13570" max="13570" width="48.7109375" style="100" customWidth="1"/>
    <col min="13571" max="13571" width="9.140625" style="100"/>
    <col min="13572" max="13574" width="14.85546875" style="100" customWidth="1"/>
    <col min="13575" max="13575" width="16.42578125" style="100" customWidth="1"/>
    <col min="13576" max="13576" width="4" style="100" customWidth="1"/>
    <col min="13577" max="13577" width="10.7109375" style="100" bestFit="1" customWidth="1"/>
    <col min="13578" max="13824" width="9.140625" style="100"/>
    <col min="13825" max="13825" width="5.140625" style="100" customWidth="1"/>
    <col min="13826" max="13826" width="48.7109375" style="100" customWidth="1"/>
    <col min="13827" max="13827" width="9.140625" style="100"/>
    <col min="13828" max="13830" width="14.85546875" style="100" customWidth="1"/>
    <col min="13831" max="13831" width="16.42578125" style="100" customWidth="1"/>
    <col min="13832" max="13832" width="4" style="100" customWidth="1"/>
    <col min="13833" max="13833" width="10.7109375" style="100" bestFit="1" customWidth="1"/>
    <col min="13834" max="14080" width="9.140625" style="100"/>
    <col min="14081" max="14081" width="5.140625" style="100" customWidth="1"/>
    <col min="14082" max="14082" width="48.7109375" style="100" customWidth="1"/>
    <col min="14083" max="14083" width="9.140625" style="100"/>
    <col min="14084" max="14086" width="14.85546875" style="100" customWidth="1"/>
    <col min="14087" max="14087" width="16.42578125" style="100" customWidth="1"/>
    <col min="14088" max="14088" width="4" style="100" customWidth="1"/>
    <col min="14089" max="14089" width="10.7109375" style="100" bestFit="1" customWidth="1"/>
    <col min="14090" max="14336" width="9.140625" style="100"/>
    <col min="14337" max="14337" width="5.140625" style="100" customWidth="1"/>
    <col min="14338" max="14338" width="48.7109375" style="100" customWidth="1"/>
    <col min="14339" max="14339" width="9.140625" style="100"/>
    <col min="14340" max="14342" width="14.85546875" style="100" customWidth="1"/>
    <col min="14343" max="14343" width="16.42578125" style="100" customWidth="1"/>
    <col min="14344" max="14344" width="4" style="100" customWidth="1"/>
    <col min="14345" max="14345" width="10.7109375" style="100" bestFit="1" customWidth="1"/>
    <col min="14346" max="14592" width="9.140625" style="100"/>
    <col min="14593" max="14593" width="5.140625" style="100" customWidth="1"/>
    <col min="14594" max="14594" width="48.7109375" style="100" customWidth="1"/>
    <col min="14595" max="14595" width="9.140625" style="100"/>
    <col min="14596" max="14598" width="14.85546875" style="100" customWidth="1"/>
    <col min="14599" max="14599" width="16.42578125" style="100" customWidth="1"/>
    <col min="14600" max="14600" width="4" style="100" customWidth="1"/>
    <col min="14601" max="14601" width="10.7109375" style="100" bestFit="1" customWidth="1"/>
    <col min="14602" max="14848" width="9.140625" style="100"/>
    <col min="14849" max="14849" width="5.140625" style="100" customWidth="1"/>
    <col min="14850" max="14850" width="48.7109375" style="100" customWidth="1"/>
    <col min="14851" max="14851" width="9.140625" style="100"/>
    <col min="14852" max="14854" width="14.85546875" style="100" customWidth="1"/>
    <col min="14855" max="14855" width="16.42578125" style="100" customWidth="1"/>
    <col min="14856" max="14856" width="4" style="100" customWidth="1"/>
    <col min="14857" max="14857" width="10.7109375" style="100" bestFit="1" customWidth="1"/>
    <col min="14858" max="15104" width="9.140625" style="100"/>
    <col min="15105" max="15105" width="5.140625" style="100" customWidth="1"/>
    <col min="15106" max="15106" width="48.7109375" style="100" customWidth="1"/>
    <col min="15107" max="15107" width="9.140625" style="100"/>
    <col min="15108" max="15110" width="14.85546875" style="100" customWidth="1"/>
    <col min="15111" max="15111" width="16.42578125" style="100" customWidth="1"/>
    <col min="15112" max="15112" width="4" style="100" customWidth="1"/>
    <col min="15113" max="15113" width="10.7109375" style="100" bestFit="1" customWidth="1"/>
    <col min="15114" max="15360" width="9.140625" style="100"/>
    <col min="15361" max="15361" width="5.140625" style="100" customWidth="1"/>
    <col min="15362" max="15362" width="48.7109375" style="100" customWidth="1"/>
    <col min="15363" max="15363" width="9.140625" style="100"/>
    <col min="15364" max="15366" width="14.85546875" style="100" customWidth="1"/>
    <col min="15367" max="15367" width="16.42578125" style="100" customWidth="1"/>
    <col min="15368" max="15368" width="4" style="100" customWidth="1"/>
    <col min="15369" max="15369" width="10.7109375" style="100" bestFit="1" customWidth="1"/>
    <col min="15370" max="15616" width="9.140625" style="100"/>
    <col min="15617" max="15617" width="5.140625" style="100" customWidth="1"/>
    <col min="15618" max="15618" width="48.7109375" style="100" customWidth="1"/>
    <col min="15619" max="15619" width="9.140625" style="100"/>
    <col min="15620" max="15622" width="14.85546875" style="100" customWidth="1"/>
    <col min="15623" max="15623" width="16.42578125" style="100" customWidth="1"/>
    <col min="15624" max="15624" width="4" style="100" customWidth="1"/>
    <col min="15625" max="15625" width="10.7109375" style="100" bestFit="1" customWidth="1"/>
    <col min="15626" max="15872" width="9.140625" style="100"/>
    <col min="15873" max="15873" width="5.140625" style="100" customWidth="1"/>
    <col min="15874" max="15874" width="48.7109375" style="100" customWidth="1"/>
    <col min="15875" max="15875" width="9.140625" style="100"/>
    <col min="15876" max="15878" width="14.85546875" style="100" customWidth="1"/>
    <col min="15879" max="15879" width="16.42578125" style="100" customWidth="1"/>
    <col min="15880" max="15880" width="4" style="100" customWidth="1"/>
    <col min="15881" max="15881" width="10.7109375" style="100" bestFit="1" customWidth="1"/>
    <col min="15882" max="16128" width="9.140625" style="100"/>
    <col min="16129" max="16129" width="5.140625" style="100" customWidth="1"/>
    <col min="16130" max="16130" width="48.7109375" style="100" customWidth="1"/>
    <col min="16131" max="16131" width="9.140625" style="100"/>
    <col min="16132" max="16134" width="14.85546875" style="100" customWidth="1"/>
    <col min="16135" max="16135" width="16.42578125" style="100" customWidth="1"/>
    <col min="16136" max="16136" width="4" style="100" customWidth="1"/>
    <col min="16137" max="16137" width="10.7109375" style="100" bestFit="1" customWidth="1"/>
    <col min="16138" max="16384" width="9.140625" style="100"/>
  </cols>
  <sheetData>
    <row r="1" spans="1:9" s="99" customFormat="1" ht="20.25" customHeight="1">
      <c r="A1" s="400" t="s">
        <v>0</v>
      </c>
      <c r="B1" s="400"/>
      <c r="C1" s="400"/>
      <c r="D1" s="400"/>
      <c r="E1" s="400"/>
      <c r="F1" s="400"/>
      <c r="G1" s="400"/>
    </row>
    <row r="2" spans="1:9" ht="14.25" customHeight="1">
      <c r="A2" s="1"/>
      <c r="B2" s="2" t="s">
        <v>1</v>
      </c>
      <c r="C2" s="1"/>
      <c r="D2" s="1"/>
      <c r="E2" s="1"/>
      <c r="F2" s="1"/>
      <c r="G2" s="1"/>
    </row>
    <row r="3" spans="1:9" ht="14.25" customHeight="1">
      <c r="A3" s="424" t="s">
        <v>2</v>
      </c>
      <c r="B3" s="426" t="s">
        <v>3</v>
      </c>
      <c r="C3" s="424" t="s">
        <v>4</v>
      </c>
      <c r="D3" s="101" t="s">
        <v>5</v>
      </c>
      <c r="E3" s="101" t="s">
        <v>5</v>
      </c>
      <c r="F3" s="101" t="s">
        <v>5</v>
      </c>
      <c r="G3" s="102" t="s">
        <v>5</v>
      </c>
    </row>
    <row r="4" spans="1:9" ht="14.25" customHeight="1">
      <c r="A4" s="425"/>
      <c r="B4" s="427"/>
      <c r="C4" s="425"/>
      <c r="D4" s="103" t="s">
        <v>6</v>
      </c>
      <c r="E4" s="103" t="s">
        <v>6</v>
      </c>
      <c r="F4" s="103" t="s">
        <v>6</v>
      </c>
      <c r="G4" s="104" t="s">
        <v>7</v>
      </c>
    </row>
    <row r="5" spans="1:9" ht="14.25" customHeight="1">
      <c r="A5" s="6"/>
      <c r="B5" s="105"/>
      <c r="C5" s="6"/>
      <c r="D5" s="6" t="s">
        <v>143</v>
      </c>
      <c r="E5" s="6" t="s">
        <v>140</v>
      </c>
      <c r="F5" s="6" t="s">
        <v>141</v>
      </c>
      <c r="G5" s="106"/>
    </row>
    <row r="6" spans="1:9" ht="14.25" customHeight="1">
      <c r="A6" s="107" t="s">
        <v>8</v>
      </c>
      <c r="B6" s="108" t="s">
        <v>9</v>
      </c>
      <c r="C6" s="109" t="s">
        <v>10</v>
      </c>
      <c r="D6" s="35">
        <f>D7+D10+D11+D16+D23+D24+D25</f>
        <v>366761576</v>
      </c>
      <c r="E6" s="35">
        <f>E7+E10+E11+E16+E23+E24+E25</f>
        <v>95836904</v>
      </c>
      <c r="F6" s="35">
        <f>F7+F10+F11+F16+F23+F24+F25</f>
        <v>462598480</v>
      </c>
      <c r="G6" s="36">
        <f>G7+G10+G11+G16+G23+G24+G25</f>
        <v>304956439</v>
      </c>
    </row>
    <row r="7" spans="1:9" ht="14.25" customHeight="1">
      <c r="A7" s="13"/>
      <c r="B7" s="14" t="s">
        <v>11</v>
      </c>
      <c r="C7" s="15"/>
      <c r="D7" s="11">
        <f>SUM(D8:D9)</f>
        <v>2540803</v>
      </c>
      <c r="E7" s="11">
        <f>SUM(E8:E9)</f>
        <v>7102</v>
      </c>
      <c r="F7" s="11">
        <f>SUM(F8:F9)</f>
        <v>2547905</v>
      </c>
      <c r="G7" s="16">
        <f>SUM(G8:G9)</f>
        <v>3883270</v>
      </c>
    </row>
    <row r="8" spans="1:9" ht="14.25" customHeight="1">
      <c r="A8" s="17"/>
      <c r="B8" s="18" t="s">
        <v>12</v>
      </c>
      <c r="C8" s="15"/>
      <c r="D8" s="19">
        <v>1688426</v>
      </c>
      <c r="E8" s="110"/>
      <c r="F8" s="110">
        <f>+E8+D8</f>
        <v>1688426</v>
      </c>
      <c r="G8" s="16">
        <v>3410864</v>
      </c>
    </row>
    <row r="9" spans="1:9" ht="14.25" customHeight="1">
      <c r="A9" s="17"/>
      <c r="B9" s="18" t="s">
        <v>13</v>
      </c>
      <c r="C9" s="15"/>
      <c r="D9" s="19">
        <f>+aktiv!D9</f>
        <v>852377</v>
      </c>
      <c r="E9" s="110">
        <v>7102</v>
      </c>
      <c r="F9" s="110">
        <f>+E9+D9</f>
        <v>859479</v>
      </c>
      <c r="G9" s="16">
        <v>472406</v>
      </c>
    </row>
    <row r="10" spans="1:9" ht="14.25" customHeight="1">
      <c r="A10" s="17"/>
      <c r="B10" s="20" t="s">
        <v>14</v>
      </c>
      <c r="C10" s="21"/>
      <c r="D10" s="19"/>
      <c r="E10" s="110"/>
      <c r="F10" s="110"/>
      <c r="G10" s="16"/>
    </row>
    <row r="11" spans="1:9" ht="14.25" customHeight="1">
      <c r="A11" s="17"/>
      <c r="B11" s="14" t="s">
        <v>15</v>
      </c>
      <c r="C11" s="15"/>
      <c r="D11" s="11">
        <f>SUM(D12:D15)</f>
        <v>281911711</v>
      </c>
      <c r="E11" s="11">
        <f>SUM(E12:E15)</f>
        <v>92928385</v>
      </c>
      <c r="F11" s="11">
        <f>SUM(F12:F15)</f>
        <v>374840096</v>
      </c>
      <c r="G11" s="12">
        <f>SUM(G12:G15)</f>
        <v>235588061</v>
      </c>
      <c r="I11" s="111"/>
    </row>
    <row r="12" spans="1:9" ht="14.25" customHeight="1">
      <c r="A12" s="17"/>
      <c r="B12" s="18" t="s">
        <v>16</v>
      </c>
      <c r="C12" s="15"/>
      <c r="D12" s="19">
        <v>195825453</v>
      </c>
      <c r="E12" s="110">
        <v>26442302</v>
      </c>
      <c r="F12" s="110">
        <f>+D12+E12</f>
        <v>222267755</v>
      </c>
      <c r="G12" s="16">
        <v>148977840</v>
      </c>
    </row>
    <row r="13" spans="1:9" ht="14.25" customHeight="1">
      <c r="A13" s="17"/>
      <c r="B13" s="18" t="s">
        <v>18</v>
      </c>
      <c r="C13" s="15"/>
      <c r="D13" s="19"/>
      <c r="E13" s="110"/>
      <c r="F13" s="110">
        <f>+D13+E13</f>
        <v>0</v>
      </c>
      <c r="G13" s="16">
        <v>20443</v>
      </c>
    </row>
    <row r="14" spans="1:9" ht="14.25" customHeight="1">
      <c r="A14" s="17"/>
      <c r="B14" s="18" t="s">
        <v>19</v>
      </c>
      <c r="C14" s="15"/>
      <c r="D14" s="19">
        <v>1086258</v>
      </c>
      <c r="E14" s="110"/>
      <c r="F14" s="110">
        <f>+D14+E14</f>
        <v>1086258</v>
      </c>
      <c r="G14" s="16">
        <v>0</v>
      </c>
    </row>
    <row r="15" spans="1:9" ht="14.25" customHeight="1">
      <c r="A15" s="17"/>
      <c r="B15" s="18" t="s">
        <v>17</v>
      </c>
      <c r="C15" s="18"/>
      <c r="D15" s="19">
        <f>+aktiv!D16</f>
        <v>85000000</v>
      </c>
      <c r="E15" s="110">
        <v>66486083</v>
      </c>
      <c r="F15" s="110">
        <f>+D15+E15</f>
        <v>151486083</v>
      </c>
      <c r="G15" s="16">
        <v>86589778</v>
      </c>
    </row>
    <row r="16" spans="1:9" ht="14.25" customHeight="1">
      <c r="A16" s="17"/>
      <c r="B16" s="14" t="s">
        <v>22</v>
      </c>
      <c r="C16" s="15"/>
      <c r="D16" s="11">
        <f>+D17+D18+D21+D22</f>
        <v>82309062</v>
      </c>
      <c r="E16" s="11">
        <f>SUM(E17:E22)</f>
        <v>2901417</v>
      </c>
      <c r="F16" s="11">
        <f>+F17+F18+F21+F22</f>
        <v>85210479</v>
      </c>
      <c r="G16" s="12">
        <f>+G17+G18+G21</f>
        <v>65485108</v>
      </c>
    </row>
    <row r="17" spans="1:7" ht="14.25" customHeight="1">
      <c r="A17" s="17"/>
      <c r="B17" s="18" t="s">
        <v>23</v>
      </c>
      <c r="C17" s="15"/>
      <c r="D17" s="19">
        <f>+[2]bilanci!K20</f>
        <v>0</v>
      </c>
      <c r="E17" s="110">
        <v>2901417</v>
      </c>
      <c r="F17" s="110">
        <f>+E16:E17+D17</f>
        <v>2901417</v>
      </c>
      <c r="G17" s="16">
        <v>1485799</v>
      </c>
    </row>
    <row r="18" spans="1:7" ht="14.25" customHeight="1">
      <c r="A18" s="17"/>
      <c r="B18" s="18" t="s">
        <v>24</v>
      </c>
      <c r="C18" s="15"/>
      <c r="D18" s="19">
        <v>76560</v>
      </c>
      <c r="E18" s="110"/>
      <c r="F18" s="110">
        <f t="shared" ref="F18:F26" si="0">+E17:E18+D18</f>
        <v>76560</v>
      </c>
      <c r="G18" s="16">
        <v>76560</v>
      </c>
    </row>
    <row r="19" spans="1:7" ht="12" customHeight="1">
      <c r="A19" s="17"/>
      <c r="B19" s="18" t="s">
        <v>25</v>
      </c>
      <c r="C19" s="15"/>
      <c r="D19" s="19"/>
      <c r="E19" s="110"/>
      <c r="F19" s="110">
        <f t="shared" si="0"/>
        <v>0</v>
      </c>
      <c r="G19" s="16"/>
    </row>
    <row r="20" spans="1:7" ht="12" customHeight="1">
      <c r="A20" s="17"/>
      <c r="B20" s="18" t="s">
        <v>26</v>
      </c>
      <c r="C20" s="15"/>
      <c r="D20" s="19"/>
      <c r="E20" s="110"/>
      <c r="F20" s="110">
        <f t="shared" si="0"/>
        <v>0</v>
      </c>
      <c r="G20" s="16"/>
    </row>
    <row r="21" spans="1:7" ht="12" customHeight="1">
      <c r="A21" s="17"/>
      <c r="B21" s="18" t="s">
        <v>27</v>
      </c>
      <c r="C21" s="15"/>
      <c r="D21" s="19">
        <v>70235317</v>
      </c>
      <c r="E21" s="110"/>
      <c r="F21" s="110">
        <f t="shared" si="0"/>
        <v>70235317</v>
      </c>
      <c r="G21" s="16">
        <v>63922749</v>
      </c>
    </row>
    <row r="22" spans="1:7" ht="16.5" customHeight="1">
      <c r="A22" s="17"/>
      <c r="B22" s="18" t="s">
        <v>175</v>
      </c>
      <c r="C22" s="18"/>
      <c r="D22" s="19">
        <v>11997185</v>
      </c>
      <c r="E22" s="110"/>
      <c r="F22" s="110">
        <f t="shared" si="0"/>
        <v>11997185</v>
      </c>
      <c r="G22" s="16"/>
    </row>
    <row r="23" spans="1:7" ht="12" customHeight="1">
      <c r="A23" s="13"/>
      <c r="B23" s="14" t="s">
        <v>29</v>
      </c>
      <c r="C23" s="15"/>
      <c r="D23" s="19"/>
      <c r="E23" s="110"/>
      <c r="F23" s="110">
        <f>+E23:E23+D23</f>
        <v>0</v>
      </c>
      <c r="G23" s="16"/>
    </row>
    <row r="24" spans="1:7" ht="12" customHeight="1">
      <c r="A24" s="17"/>
      <c r="B24" s="14" t="s">
        <v>30</v>
      </c>
      <c r="C24" s="15"/>
      <c r="D24" s="19"/>
      <c r="E24" s="110"/>
      <c r="F24" s="110">
        <f t="shared" si="0"/>
        <v>0</v>
      </c>
      <c r="G24" s="16"/>
    </row>
    <row r="25" spans="1:7" ht="14.25" customHeight="1">
      <c r="A25" s="17"/>
      <c r="B25" s="14" t="s">
        <v>31</v>
      </c>
      <c r="C25" s="15"/>
      <c r="D25" s="11">
        <f>SUM(D26:D26)</f>
        <v>0</v>
      </c>
      <c r="E25" s="112"/>
      <c r="F25" s="110">
        <f>+E24:E25+D25</f>
        <v>0</v>
      </c>
      <c r="G25" s="12">
        <v>0</v>
      </c>
    </row>
    <row r="26" spans="1:7" ht="14.25" customHeight="1">
      <c r="A26" s="17"/>
      <c r="B26" s="18" t="s">
        <v>32</v>
      </c>
      <c r="C26" s="15"/>
      <c r="D26" s="19">
        <f>+[2]bilanci!K32</f>
        <v>0</v>
      </c>
      <c r="E26" s="110"/>
      <c r="F26" s="110">
        <f t="shared" si="0"/>
        <v>0</v>
      </c>
      <c r="G26" s="16">
        <f>+[2]bilanci!G32</f>
        <v>0</v>
      </c>
    </row>
    <row r="27" spans="1:7" ht="14.25" customHeight="1">
      <c r="A27" s="8" t="s">
        <v>33</v>
      </c>
      <c r="B27" s="14" t="s">
        <v>34</v>
      </c>
      <c r="C27" s="10" t="s">
        <v>10</v>
      </c>
      <c r="D27" s="11">
        <f>D28+D29+D34+D35+D36+D37</f>
        <v>144832460</v>
      </c>
      <c r="E27" s="11">
        <f>E28+E29+E34+E35+E36+E37</f>
        <v>0</v>
      </c>
      <c r="F27" s="11">
        <f>F28+F29+F34+F35+F36+F37</f>
        <v>144832460</v>
      </c>
      <c r="G27" s="12">
        <f>G28+G29+G34+G35+G36+G37</f>
        <v>151570817</v>
      </c>
    </row>
    <row r="28" spans="1:7" ht="14.25" customHeight="1">
      <c r="A28" s="17"/>
      <c r="B28" s="14" t="s">
        <v>35</v>
      </c>
      <c r="C28" s="15"/>
      <c r="D28" s="19"/>
      <c r="E28" s="110"/>
      <c r="F28" s="110"/>
      <c r="G28" s="16"/>
    </row>
    <row r="29" spans="1:7" ht="14.25" customHeight="1">
      <c r="A29" s="17"/>
      <c r="B29" s="14" t="s">
        <v>36</v>
      </c>
      <c r="C29" s="15"/>
      <c r="D29" s="11">
        <f>+D30+D31+D32+D33</f>
        <v>144832460</v>
      </c>
      <c r="E29" s="11">
        <f>+E30+E31+E32+E33</f>
        <v>0</v>
      </c>
      <c r="F29" s="11">
        <f>+F30+F31+F32+F33</f>
        <v>144832460</v>
      </c>
      <c r="G29" s="12">
        <v>151570817</v>
      </c>
    </row>
    <row r="30" spans="1:7" ht="14.25" customHeight="1">
      <c r="A30" s="17"/>
      <c r="B30" s="18" t="s">
        <v>37</v>
      </c>
      <c r="C30" s="15"/>
      <c r="D30" s="19"/>
      <c r="E30" s="110"/>
      <c r="F30" s="110"/>
      <c r="G30" s="16"/>
    </row>
    <row r="31" spans="1:7" ht="14.25" customHeight="1">
      <c r="A31" s="17"/>
      <c r="B31" s="18" t="s">
        <v>38</v>
      </c>
      <c r="C31" s="15"/>
      <c r="D31" s="22">
        <v>64963853</v>
      </c>
      <c r="E31" s="113"/>
      <c r="F31" s="113">
        <f>+D31+E31</f>
        <v>64963853</v>
      </c>
      <c r="G31" s="16">
        <v>60853104</v>
      </c>
    </row>
    <row r="32" spans="1:7" ht="14.25" customHeight="1">
      <c r="A32" s="17"/>
      <c r="B32" s="18" t="s">
        <v>39</v>
      </c>
      <c r="C32" s="15"/>
      <c r="D32" s="22">
        <v>79868607</v>
      </c>
      <c r="E32" s="113"/>
      <c r="F32" s="113">
        <f>+D32+E32</f>
        <v>79868607</v>
      </c>
      <c r="G32" s="16">
        <v>90717713</v>
      </c>
    </row>
    <row r="33" spans="1:10" ht="14.25" customHeight="1">
      <c r="A33" s="17"/>
      <c r="B33" s="18" t="s">
        <v>142</v>
      </c>
      <c r="C33" s="15"/>
      <c r="D33" s="19">
        <f>+[2]akt!$D$37</f>
        <v>0</v>
      </c>
      <c r="E33" s="110"/>
      <c r="F33" s="110"/>
      <c r="G33" s="16"/>
    </row>
    <row r="34" spans="1:10" ht="14.25" customHeight="1">
      <c r="A34" s="17"/>
      <c r="B34" s="14" t="s">
        <v>40</v>
      </c>
      <c r="C34" s="15"/>
      <c r="D34" s="19"/>
      <c r="E34" s="110"/>
      <c r="F34" s="110"/>
      <c r="G34" s="16"/>
    </row>
    <row r="35" spans="1:10" ht="14.25" customHeight="1">
      <c r="A35" s="17"/>
      <c r="B35" s="14" t="s">
        <v>41</v>
      </c>
      <c r="C35" s="15"/>
      <c r="D35" s="19"/>
      <c r="E35" s="110"/>
      <c r="F35" s="110"/>
      <c r="G35" s="16"/>
    </row>
    <row r="36" spans="1:10" ht="14.25" customHeight="1">
      <c r="A36" s="17"/>
      <c r="B36" s="14" t="s">
        <v>42</v>
      </c>
      <c r="C36" s="15"/>
      <c r="D36" s="19"/>
      <c r="E36" s="110"/>
      <c r="F36" s="110"/>
      <c r="G36" s="16"/>
    </row>
    <row r="37" spans="1:10" ht="14.25" customHeight="1">
      <c r="A37" s="17"/>
      <c r="B37" s="14" t="s">
        <v>43</v>
      </c>
      <c r="C37" s="15"/>
      <c r="D37" s="19"/>
      <c r="E37" s="110"/>
      <c r="F37" s="110"/>
      <c r="G37" s="16"/>
    </row>
    <row r="38" spans="1:10" ht="14.25" customHeight="1">
      <c r="A38" s="17"/>
      <c r="B38" s="9" t="s">
        <v>44</v>
      </c>
      <c r="C38" s="10" t="s">
        <v>10</v>
      </c>
      <c r="D38" s="11">
        <f>D27+D6</f>
        <v>511594036</v>
      </c>
      <c r="E38" s="11">
        <f>E27+E6</f>
        <v>95836904</v>
      </c>
      <c r="F38" s="11">
        <f>F27+F6</f>
        <v>607430940</v>
      </c>
      <c r="G38" s="12">
        <f>G27+G6</f>
        <v>456527256</v>
      </c>
    </row>
    <row r="39" spans="1:10" ht="14.25" customHeight="1" thickBot="1">
      <c r="A39" s="23"/>
      <c r="B39" s="24"/>
      <c r="C39" s="24"/>
      <c r="D39" s="25"/>
      <c r="E39" s="114"/>
      <c r="F39" s="114"/>
      <c r="G39" s="26"/>
    </row>
    <row r="40" spans="1:10" ht="14.25" customHeight="1">
      <c r="A40" s="115"/>
      <c r="B40" s="21"/>
      <c r="C40" s="21"/>
      <c r="D40" s="116"/>
      <c r="E40" s="116"/>
      <c r="F40" s="116"/>
      <c r="G40" s="116"/>
    </row>
    <row r="41" spans="1:10" s="117" customFormat="1" ht="14.25" customHeight="1">
      <c r="A41" s="115"/>
      <c r="B41" s="21"/>
      <c r="C41" s="21"/>
      <c r="D41" s="21"/>
      <c r="E41" s="21"/>
      <c r="F41" s="21"/>
      <c r="G41" s="21"/>
      <c r="H41" s="21"/>
      <c r="I41" s="21"/>
      <c r="J41" s="21"/>
    </row>
    <row r="42" spans="1:10" s="117" customFormat="1" ht="14.25" customHeight="1">
      <c r="A42" s="115"/>
      <c r="B42" s="21"/>
      <c r="C42" s="21"/>
      <c r="D42" s="21"/>
      <c r="E42" s="21"/>
      <c r="F42" s="21"/>
      <c r="G42" s="21"/>
      <c r="H42" s="21"/>
      <c r="I42" s="21"/>
      <c r="J42" s="21"/>
    </row>
    <row r="43" spans="1:10" s="117" customFormat="1" ht="14.25" customHeight="1">
      <c r="A43" s="115"/>
      <c r="B43" s="21"/>
      <c r="C43" s="21"/>
      <c r="D43" s="21"/>
      <c r="E43" s="21"/>
      <c r="F43" s="21"/>
      <c r="G43" s="21"/>
      <c r="H43" s="21"/>
      <c r="I43" s="21"/>
      <c r="J43" s="21"/>
    </row>
    <row r="44" spans="1:10" s="117" customFormat="1" ht="14.25" customHeight="1">
      <c r="A44" s="118"/>
      <c r="B44" s="21"/>
      <c r="C44" s="21"/>
      <c r="D44" s="21"/>
      <c r="E44" s="21"/>
      <c r="F44" s="21"/>
      <c r="G44" s="21"/>
      <c r="H44" s="21"/>
      <c r="I44" s="21"/>
      <c r="J44" s="21"/>
    </row>
    <row r="45" spans="1:10" s="117" customFormat="1" ht="14.25" customHeight="1">
      <c r="A45" s="115"/>
      <c r="B45" s="115"/>
      <c r="C45" s="115"/>
      <c r="D45" s="115"/>
      <c r="E45" s="115"/>
      <c r="F45" s="115"/>
      <c r="G45" s="115"/>
    </row>
    <row r="46" spans="1:10" s="117" customFormat="1" ht="14.25" customHeight="1">
      <c r="A46" s="115"/>
      <c r="B46" s="115"/>
      <c r="C46" s="115"/>
      <c r="D46" s="116"/>
      <c r="E46" s="116"/>
      <c r="F46" s="116"/>
      <c r="G46" s="115"/>
    </row>
    <row r="47" spans="1:10" s="117" customFormat="1" ht="14.25" customHeight="1">
      <c r="A47" s="115"/>
      <c r="B47" s="119"/>
      <c r="C47" s="119"/>
      <c r="D47" s="116"/>
      <c r="E47" s="116"/>
      <c r="F47" s="116"/>
      <c r="G47" s="120"/>
    </row>
    <row r="48" spans="1:10" s="117" customFormat="1" ht="14.25" customHeight="1">
      <c r="A48" s="115"/>
      <c r="B48" s="115"/>
      <c r="C48" s="115"/>
      <c r="D48" s="115"/>
      <c r="E48" s="115"/>
      <c r="F48" s="115"/>
      <c r="G48" s="115"/>
    </row>
    <row r="49" spans="1:7" s="117" customFormat="1" ht="14.25" customHeight="1">
      <c r="A49" s="115"/>
      <c r="B49" s="115"/>
      <c r="C49" s="115"/>
      <c r="D49" s="115"/>
      <c r="E49" s="115"/>
      <c r="F49" s="115"/>
      <c r="G49" s="115"/>
    </row>
    <row r="50" spans="1:7" s="117" customFormat="1" ht="14.25" customHeight="1">
      <c r="A50" s="115"/>
      <c r="B50" s="115"/>
      <c r="C50" s="115"/>
      <c r="D50" s="115"/>
      <c r="E50" s="115"/>
      <c r="F50" s="115"/>
      <c r="G50" s="115"/>
    </row>
    <row r="51" spans="1:7" ht="14.25" customHeight="1">
      <c r="A51" s="3"/>
      <c r="B51" s="3"/>
      <c r="C51" s="3"/>
      <c r="D51" s="3"/>
      <c r="E51" s="3"/>
      <c r="F51" s="3"/>
      <c r="G51" s="3"/>
    </row>
  </sheetData>
  <mergeCells count="4">
    <mergeCell ref="A1:G1"/>
    <mergeCell ref="A3:A4"/>
    <mergeCell ref="B3:B4"/>
    <mergeCell ref="C3:C4"/>
  </mergeCells>
  <pageMargins left="0.37" right="0.7" top="0.56000000000000005" bottom="0.44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3"/>
  <sheetViews>
    <sheetView topLeftCell="A4" workbookViewId="0">
      <selection activeCell="K33" sqref="K33"/>
    </sheetView>
  </sheetViews>
  <sheetFormatPr defaultRowHeight="14.25" customHeight="1"/>
  <cols>
    <col min="1" max="1" width="5.28515625" style="100" customWidth="1"/>
    <col min="2" max="2" width="52.140625" style="100" customWidth="1"/>
    <col min="3" max="3" width="8" style="100" customWidth="1"/>
    <col min="4" max="6" width="14.85546875" style="100" customWidth="1"/>
    <col min="7" max="7" width="17.42578125" style="100" customWidth="1"/>
    <col min="8" max="8" width="9.140625" style="100"/>
    <col min="9" max="9" width="10.42578125" style="100" bestFit="1" customWidth="1"/>
    <col min="10" max="256" width="9.140625" style="100"/>
    <col min="257" max="257" width="5.28515625" style="100" customWidth="1"/>
    <col min="258" max="258" width="52.140625" style="100" customWidth="1"/>
    <col min="259" max="259" width="8" style="100" customWidth="1"/>
    <col min="260" max="262" width="14.85546875" style="100" customWidth="1"/>
    <col min="263" max="263" width="17.42578125" style="100" customWidth="1"/>
    <col min="264" max="264" width="9.140625" style="100"/>
    <col min="265" max="265" width="10.42578125" style="100" bestFit="1" customWidth="1"/>
    <col min="266" max="512" width="9.140625" style="100"/>
    <col min="513" max="513" width="5.28515625" style="100" customWidth="1"/>
    <col min="514" max="514" width="52.140625" style="100" customWidth="1"/>
    <col min="515" max="515" width="8" style="100" customWidth="1"/>
    <col min="516" max="518" width="14.85546875" style="100" customWidth="1"/>
    <col min="519" max="519" width="17.42578125" style="100" customWidth="1"/>
    <col min="520" max="520" width="9.140625" style="100"/>
    <col min="521" max="521" width="10.42578125" style="100" bestFit="1" customWidth="1"/>
    <col min="522" max="768" width="9.140625" style="100"/>
    <col min="769" max="769" width="5.28515625" style="100" customWidth="1"/>
    <col min="770" max="770" width="52.140625" style="100" customWidth="1"/>
    <col min="771" max="771" width="8" style="100" customWidth="1"/>
    <col min="772" max="774" width="14.85546875" style="100" customWidth="1"/>
    <col min="775" max="775" width="17.42578125" style="100" customWidth="1"/>
    <col min="776" max="776" width="9.140625" style="100"/>
    <col min="777" max="777" width="10.42578125" style="100" bestFit="1" customWidth="1"/>
    <col min="778" max="1024" width="9.140625" style="100"/>
    <col min="1025" max="1025" width="5.28515625" style="100" customWidth="1"/>
    <col min="1026" max="1026" width="52.140625" style="100" customWidth="1"/>
    <col min="1027" max="1027" width="8" style="100" customWidth="1"/>
    <col min="1028" max="1030" width="14.85546875" style="100" customWidth="1"/>
    <col min="1031" max="1031" width="17.42578125" style="100" customWidth="1"/>
    <col min="1032" max="1032" width="9.140625" style="100"/>
    <col min="1033" max="1033" width="10.42578125" style="100" bestFit="1" customWidth="1"/>
    <col min="1034" max="1280" width="9.140625" style="100"/>
    <col min="1281" max="1281" width="5.28515625" style="100" customWidth="1"/>
    <col min="1282" max="1282" width="52.140625" style="100" customWidth="1"/>
    <col min="1283" max="1283" width="8" style="100" customWidth="1"/>
    <col min="1284" max="1286" width="14.85546875" style="100" customWidth="1"/>
    <col min="1287" max="1287" width="17.42578125" style="100" customWidth="1"/>
    <col min="1288" max="1288" width="9.140625" style="100"/>
    <col min="1289" max="1289" width="10.42578125" style="100" bestFit="1" customWidth="1"/>
    <col min="1290" max="1536" width="9.140625" style="100"/>
    <col min="1537" max="1537" width="5.28515625" style="100" customWidth="1"/>
    <col min="1538" max="1538" width="52.140625" style="100" customWidth="1"/>
    <col min="1539" max="1539" width="8" style="100" customWidth="1"/>
    <col min="1540" max="1542" width="14.85546875" style="100" customWidth="1"/>
    <col min="1543" max="1543" width="17.42578125" style="100" customWidth="1"/>
    <col min="1544" max="1544" width="9.140625" style="100"/>
    <col min="1545" max="1545" width="10.42578125" style="100" bestFit="1" customWidth="1"/>
    <col min="1546" max="1792" width="9.140625" style="100"/>
    <col min="1793" max="1793" width="5.28515625" style="100" customWidth="1"/>
    <col min="1794" max="1794" width="52.140625" style="100" customWidth="1"/>
    <col min="1795" max="1795" width="8" style="100" customWidth="1"/>
    <col min="1796" max="1798" width="14.85546875" style="100" customWidth="1"/>
    <col min="1799" max="1799" width="17.42578125" style="100" customWidth="1"/>
    <col min="1800" max="1800" width="9.140625" style="100"/>
    <col min="1801" max="1801" width="10.42578125" style="100" bestFit="1" customWidth="1"/>
    <col min="1802" max="2048" width="9.140625" style="100"/>
    <col min="2049" max="2049" width="5.28515625" style="100" customWidth="1"/>
    <col min="2050" max="2050" width="52.140625" style="100" customWidth="1"/>
    <col min="2051" max="2051" width="8" style="100" customWidth="1"/>
    <col min="2052" max="2054" width="14.85546875" style="100" customWidth="1"/>
    <col min="2055" max="2055" width="17.42578125" style="100" customWidth="1"/>
    <col min="2056" max="2056" width="9.140625" style="100"/>
    <col min="2057" max="2057" width="10.42578125" style="100" bestFit="1" customWidth="1"/>
    <col min="2058" max="2304" width="9.140625" style="100"/>
    <col min="2305" max="2305" width="5.28515625" style="100" customWidth="1"/>
    <col min="2306" max="2306" width="52.140625" style="100" customWidth="1"/>
    <col min="2307" max="2307" width="8" style="100" customWidth="1"/>
    <col min="2308" max="2310" width="14.85546875" style="100" customWidth="1"/>
    <col min="2311" max="2311" width="17.42578125" style="100" customWidth="1"/>
    <col min="2312" max="2312" width="9.140625" style="100"/>
    <col min="2313" max="2313" width="10.42578125" style="100" bestFit="1" customWidth="1"/>
    <col min="2314" max="2560" width="9.140625" style="100"/>
    <col min="2561" max="2561" width="5.28515625" style="100" customWidth="1"/>
    <col min="2562" max="2562" width="52.140625" style="100" customWidth="1"/>
    <col min="2563" max="2563" width="8" style="100" customWidth="1"/>
    <col min="2564" max="2566" width="14.85546875" style="100" customWidth="1"/>
    <col min="2567" max="2567" width="17.42578125" style="100" customWidth="1"/>
    <col min="2568" max="2568" width="9.140625" style="100"/>
    <col min="2569" max="2569" width="10.42578125" style="100" bestFit="1" customWidth="1"/>
    <col min="2570" max="2816" width="9.140625" style="100"/>
    <col min="2817" max="2817" width="5.28515625" style="100" customWidth="1"/>
    <col min="2818" max="2818" width="52.140625" style="100" customWidth="1"/>
    <col min="2819" max="2819" width="8" style="100" customWidth="1"/>
    <col min="2820" max="2822" width="14.85546875" style="100" customWidth="1"/>
    <col min="2823" max="2823" width="17.42578125" style="100" customWidth="1"/>
    <col min="2824" max="2824" width="9.140625" style="100"/>
    <col min="2825" max="2825" width="10.42578125" style="100" bestFit="1" customWidth="1"/>
    <col min="2826" max="3072" width="9.140625" style="100"/>
    <col min="3073" max="3073" width="5.28515625" style="100" customWidth="1"/>
    <col min="3074" max="3074" width="52.140625" style="100" customWidth="1"/>
    <col min="3075" max="3075" width="8" style="100" customWidth="1"/>
    <col min="3076" max="3078" width="14.85546875" style="100" customWidth="1"/>
    <col min="3079" max="3079" width="17.42578125" style="100" customWidth="1"/>
    <col min="3080" max="3080" width="9.140625" style="100"/>
    <col min="3081" max="3081" width="10.42578125" style="100" bestFit="1" customWidth="1"/>
    <col min="3082" max="3328" width="9.140625" style="100"/>
    <col min="3329" max="3329" width="5.28515625" style="100" customWidth="1"/>
    <col min="3330" max="3330" width="52.140625" style="100" customWidth="1"/>
    <col min="3331" max="3331" width="8" style="100" customWidth="1"/>
    <col min="3332" max="3334" width="14.85546875" style="100" customWidth="1"/>
    <col min="3335" max="3335" width="17.42578125" style="100" customWidth="1"/>
    <col min="3336" max="3336" width="9.140625" style="100"/>
    <col min="3337" max="3337" width="10.42578125" style="100" bestFit="1" customWidth="1"/>
    <col min="3338" max="3584" width="9.140625" style="100"/>
    <col min="3585" max="3585" width="5.28515625" style="100" customWidth="1"/>
    <col min="3586" max="3586" width="52.140625" style="100" customWidth="1"/>
    <col min="3587" max="3587" width="8" style="100" customWidth="1"/>
    <col min="3588" max="3590" width="14.85546875" style="100" customWidth="1"/>
    <col min="3591" max="3591" width="17.42578125" style="100" customWidth="1"/>
    <col min="3592" max="3592" width="9.140625" style="100"/>
    <col min="3593" max="3593" width="10.42578125" style="100" bestFit="1" customWidth="1"/>
    <col min="3594" max="3840" width="9.140625" style="100"/>
    <col min="3841" max="3841" width="5.28515625" style="100" customWidth="1"/>
    <col min="3842" max="3842" width="52.140625" style="100" customWidth="1"/>
    <col min="3843" max="3843" width="8" style="100" customWidth="1"/>
    <col min="3844" max="3846" width="14.85546875" style="100" customWidth="1"/>
    <col min="3847" max="3847" width="17.42578125" style="100" customWidth="1"/>
    <col min="3848" max="3848" width="9.140625" style="100"/>
    <col min="3849" max="3849" width="10.42578125" style="100" bestFit="1" customWidth="1"/>
    <col min="3850" max="4096" width="9.140625" style="100"/>
    <col min="4097" max="4097" width="5.28515625" style="100" customWidth="1"/>
    <col min="4098" max="4098" width="52.140625" style="100" customWidth="1"/>
    <col min="4099" max="4099" width="8" style="100" customWidth="1"/>
    <col min="4100" max="4102" width="14.85546875" style="100" customWidth="1"/>
    <col min="4103" max="4103" width="17.42578125" style="100" customWidth="1"/>
    <col min="4104" max="4104" width="9.140625" style="100"/>
    <col min="4105" max="4105" width="10.42578125" style="100" bestFit="1" customWidth="1"/>
    <col min="4106" max="4352" width="9.140625" style="100"/>
    <col min="4353" max="4353" width="5.28515625" style="100" customWidth="1"/>
    <col min="4354" max="4354" width="52.140625" style="100" customWidth="1"/>
    <col min="4355" max="4355" width="8" style="100" customWidth="1"/>
    <col min="4356" max="4358" width="14.85546875" style="100" customWidth="1"/>
    <col min="4359" max="4359" width="17.42578125" style="100" customWidth="1"/>
    <col min="4360" max="4360" width="9.140625" style="100"/>
    <col min="4361" max="4361" width="10.42578125" style="100" bestFit="1" customWidth="1"/>
    <col min="4362" max="4608" width="9.140625" style="100"/>
    <col min="4609" max="4609" width="5.28515625" style="100" customWidth="1"/>
    <col min="4610" max="4610" width="52.140625" style="100" customWidth="1"/>
    <col min="4611" max="4611" width="8" style="100" customWidth="1"/>
    <col min="4612" max="4614" width="14.85546875" style="100" customWidth="1"/>
    <col min="4615" max="4615" width="17.42578125" style="100" customWidth="1"/>
    <col min="4616" max="4616" width="9.140625" style="100"/>
    <col min="4617" max="4617" width="10.42578125" style="100" bestFit="1" customWidth="1"/>
    <col min="4618" max="4864" width="9.140625" style="100"/>
    <col min="4865" max="4865" width="5.28515625" style="100" customWidth="1"/>
    <col min="4866" max="4866" width="52.140625" style="100" customWidth="1"/>
    <col min="4867" max="4867" width="8" style="100" customWidth="1"/>
    <col min="4868" max="4870" width="14.85546875" style="100" customWidth="1"/>
    <col min="4871" max="4871" width="17.42578125" style="100" customWidth="1"/>
    <col min="4872" max="4872" width="9.140625" style="100"/>
    <col min="4873" max="4873" width="10.42578125" style="100" bestFit="1" customWidth="1"/>
    <col min="4874" max="5120" width="9.140625" style="100"/>
    <col min="5121" max="5121" width="5.28515625" style="100" customWidth="1"/>
    <col min="5122" max="5122" width="52.140625" style="100" customWidth="1"/>
    <col min="5123" max="5123" width="8" style="100" customWidth="1"/>
    <col min="5124" max="5126" width="14.85546875" style="100" customWidth="1"/>
    <col min="5127" max="5127" width="17.42578125" style="100" customWidth="1"/>
    <col min="5128" max="5128" width="9.140625" style="100"/>
    <col min="5129" max="5129" width="10.42578125" style="100" bestFit="1" customWidth="1"/>
    <col min="5130" max="5376" width="9.140625" style="100"/>
    <col min="5377" max="5377" width="5.28515625" style="100" customWidth="1"/>
    <col min="5378" max="5378" width="52.140625" style="100" customWidth="1"/>
    <col min="5379" max="5379" width="8" style="100" customWidth="1"/>
    <col min="5380" max="5382" width="14.85546875" style="100" customWidth="1"/>
    <col min="5383" max="5383" width="17.42578125" style="100" customWidth="1"/>
    <col min="5384" max="5384" width="9.140625" style="100"/>
    <col min="5385" max="5385" width="10.42578125" style="100" bestFit="1" customWidth="1"/>
    <col min="5386" max="5632" width="9.140625" style="100"/>
    <col min="5633" max="5633" width="5.28515625" style="100" customWidth="1"/>
    <col min="5634" max="5634" width="52.140625" style="100" customWidth="1"/>
    <col min="5635" max="5635" width="8" style="100" customWidth="1"/>
    <col min="5636" max="5638" width="14.85546875" style="100" customWidth="1"/>
    <col min="5639" max="5639" width="17.42578125" style="100" customWidth="1"/>
    <col min="5640" max="5640" width="9.140625" style="100"/>
    <col min="5641" max="5641" width="10.42578125" style="100" bestFit="1" customWidth="1"/>
    <col min="5642" max="5888" width="9.140625" style="100"/>
    <col min="5889" max="5889" width="5.28515625" style="100" customWidth="1"/>
    <col min="5890" max="5890" width="52.140625" style="100" customWidth="1"/>
    <col min="5891" max="5891" width="8" style="100" customWidth="1"/>
    <col min="5892" max="5894" width="14.85546875" style="100" customWidth="1"/>
    <col min="5895" max="5895" width="17.42578125" style="100" customWidth="1"/>
    <col min="5896" max="5896" width="9.140625" style="100"/>
    <col min="5897" max="5897" width="10.42578125" style="100" bestFit="1" customWidth="1"/>
    <col min="5898" max="6144" width="9.140625" style="100"/>
    <col min="6145" max="6145" width="5.28515625" style="100" customWidth="1"/>
    <col min="6146" max="6146" width="52.140625" style="100" customWidth="1"/>
    <col min="6147" max="6147" width="8" style="100" customWidth="1"/>
    <col min="6148" max="6150" width="14.85546875" style="100" customWidth="1"/>
    <col min="6151" max="6151" width="17.42578125" style="100" customWidth="1"/>
    <col min="6152" max="6152" width="9.140625" style="100"/>
    <col min="6153" max="6153" width="10.42578125" style="100" bestFit="1" customWidth="1"/>
    <col min="6154" max="6400" width="9.140625" style="100"/>
    <col min="6401" max="6401" width="5.28515625" style="100" customWidth="1"/>
    <col min="6402" max="6402" width="52.140625" style="100" customWidth="1"/>
    <col min="6403" max="6403" width="8" style="100" customWidth="1"/>
    <col min="6404" max="6406" width="14.85546875" style="100" customWidth="1"/>
    <col min="6407" max="6407" width="17.42578125" style="100" customWidth="1"/>
    <col min="6408" max="6408" width="9.140625" style="100"/>
    <col min="6409" max="6409" width="10.42578125" style="100" bestFit="1" customWidth="1"/>
    <col min="6410" max="6656" width="9.140625" style="100"/>
    <col min="6657" max="6657" width="5.28515625" style="100" customWidth="1"/>
    <col min="6658" max="6658" width="52.140625" style="100" customWidth="1"/>
    <col min="6659" max="6659" width="8" style="100" customWidth="1"/>
    <col min="6660" max="6662" width="14.85546875" style="100" customWidth="1"/>
    <col min="6663" max="6663" width="17.42578125" style="100" customWidth="1"/>
    <col min="6664" max="6664" width="9.140625" style="100"/>
    <col min="6665" max="6665" width="10.42578125" style="100" bestFit="1" customWidth="1"/>
    <col min="6666" max="6912" width="9.140625" style="100"/>
    <col min="6913" max="6913" width="5.28515625" style="100" customWidth="1"/>
    <col min="6914" max="6914" width="52.140625" style="100" customWidth="1"/>
    <col min="6915" max="6915" width="8" style="100" customWidth="1"/>
    <col min="6916" max="6918" width="14.85546875" style="100" customWidth="1"/>
    <col min="6919" max="6919" width="17.42578125" style="100" customWidth="1"/>
    <col min="6920" max="6920" width="9.140625" style="100"/>
    <col min="6921" max="6921" width="10.42578125" style="100" bestFit="1" customWidth="1"/>
    <col min="6922" max="7168" width="9.140625" style="100"/>
    <col min="7169" max="7169" width="5.28515625" style="100" customWidth="1"/>
    <col min="7170" max="7170" width="52.140625" style="100" customWidth="1"/>
    <col min="7171" max="7171" width="8" style="100" customWidth="1"/>
    <col min="7172" max="7174" width="14.85546875" style="100" customWidth="1"/>
    <col min="7175" max="7175" width="17.42578125" style="100" customWidth="1"/>
    <col min="7176" max="7176" width="9.140625" style="100"/>
    <col min="7177" max="7177" width="10.42578125" style="100" bestFit="1" customWidth="1"/>
    <col min="7178" max="7424" width="9.140625" style="100"/>
    <col min="7425" max="7425" width="5.28515625" style="100" customWidth="1"/>
    <col min="7426" max="7426" width="52.140625" style="100" customWidth="1"/>
    <col min="7427" max="7427" width="8" style="100" customWidth="1"/>
    <col min="7428" max="7430" width="14.85546875" style="100" customWidth="1"/>
    <col min="7431" max="7431" width="17.42578125" style="100" customWidth="1"/>
    <col min="7432" max="7432" width="9.140625" style="100"/>
    <col min="7433" max="7433" width="10.42578125" style="100" bestFit="1" customWidth="1"/>
    <col min="7434" max="7680" width="9.140625" style="100"/>
    <col min="7681" max="7681" width="5.28515625" style="100" customWidth="1"/>
    <col min="7682" max="7682" width="52.140625" style="100" customWidth="1"/>
    <col min="7683" max="7683" width="8" style="100" customWidth="1"/>
    <col min="7684" max="7686" width="14.85546875" style="100" customWidth="1"/>
    <col min="7687" max="7687" width="17.42578125" style="100" customWidth="1"/>
    <col min="7688" max="7688" width="9.140625" style="100"/>
    <col min="7689" max="7689" width="10.42578125" style="100" bestFit="1" customWidth="1"/>
    <col min="7690" max="7936" width="9.140625" style="100"/>
    <col min="7937" max="7937" width="5.28515625" style="100" customWidth="1"/>
    <col min="7938" max="7938" width="52.140625" style="100" customWidth="1"/>
    <col min="7939" max="7939" width="8" style="100" customWidth="1"/>
    <col min="7940" max="7942" width="14.85546875" style="100" customWidth="1"/>
    <col min="7943" max="7943" width="17.42578125" style="100" customWidth="1"/>
    <col min="7944" max="7944" width="9.140625" style="100"/>
    <col min="7945" max="7945" width="10.42578125" style="100" bestFit="1" customWidth="1"/>
    <col min="7946" max="8192" width="9.140625" style="100"/>
    <col min="8193" max="8193" width="5.28515625" style="100" customWidth="1"/>
    <col min="8194" max="8194" width="52.140625" style="100" customWidth="1"/>
    <col min="8195" max="8195" width="8" style="100" customWidth="1"/>
    <col min="8196" max="8198" width="14.85546875" style="100" customWidth="1"/>
    <col min="8199" max="8199" width="17.42578125" style="100" customWidth="1"/>
    <col min="8200" max="8200" width="9.140625" style="100"/>
    <col min="8201" max="8201" width="10.42578125" style="100" bestFit="1" customWidth="1"/>
    <col min="8202" max="8448" width="9.140625" style="100"/>
    <col min="8449" max="8449" width="5.28515625" style="100" customWidth="1"/>
    <col min="8450" max="8450" width="52.140625" style="100" customWidth="1"/>
    <col min="8451" max="8451" width="8" style="100" customWidth="1"/>
    <col min="8452" max="8454" width="14.85546875" style="100" customWidth="1"/>
    <col min="8455" max="8455" width="17.42578125" style="100" customWidth="1"/>
    <col min="8456" max="8456" width="9.140625" style="100"/>
    <col min="8457" max="8457" width="10.42578125" style="100" bestFit="1" customWidth="1"/>
    <col min="8458" max="8704" width="9.140625" style="100"/>
    <col min="8705" max="8705" width="5.28515625" style="100" customWidth="1"/>
    <col min="8706" max="8706" width="52.140625" style="100" customWidth="1"/>
    <col min="8707" max="8707" width="8" style="100" customWidth="1"/>
    <col min="8708" max="8710" width="14.85546875" style="100" customWidth="1"/>
    <col min="8711" max="8711" width="17.42578125" style="100" customWidth="1"/>
    <col min="8712" max="8712" width="9.140625" style="100"/>
    <col min="8713" max="8713" width="10.42578125" style="100" bestFit="1" customWidth="1"/>
    <col min="8714" max="8960" width="9.140625" style="100"/>
    <col min="8961" max="8961" width="5.28515625" style="100" customWidth="1"/>
    <col min="8962" max="8962" width="52.140625" style="100" customWidth="1"/>
    <col min="8963" max="8963" width="8" style="100" customWidth="1"/>
    <col min="8964" max="8966" width="14.85546875" style="100" customWidth="1"/>
    <col min="8967" max="8967" width="17.42578125" style="100" customWidth="1"/>
    <col min="8968" max="8968" width="9.140625" style="100"/>
    <col min="8969" max="8969" width="10.42578125" style="100" bestFit="1" customWidth="1"/>
    <col min="8970" max="9216" width="9.140625" style="100"/>
    <col min="9217" max="9217" width="5.28515625" style="100" customWidth="1"/>
    <col min="9218" max="9218" width="52.140625" style="100" customWidth="1"/>
    <col min="9219" max="9219" width="8" style="100" customWidth="1"/>
    <col min="9220" max="9222" width="14.85546875" style="100" customWidth="1"/>
    <col min="9223" max="9223" width="17.42578125" style="100" customWidth="1"/>
    <col min="9224" max="9224" width="9.140625" style="100"/>
    <col min="9225" max="9225" width="10.42578125" style="100" bestFit="1" customWidth="1"/>
    <col min="9226" max="9472" width="9.140625" style="100"/>
    <col min="9473" max="9473" width="5.28515625" style="100" customWidth="1"/>
    <col min="9474" max="9474" width="52.140625" style="100" customWidth="1"/>
    <col min="9475" max="9475" width="8" style="100" customWidth="1"/>
    <col min="9476" max="9478" width="14.85546875" style="100" customWidth="1"/>
    <col min="9479" max="9479" width="17.42578125" style="100" customWidth="1"/>
    <col min="9480" max="9480" width="9.140625" style="100"/>
    <col min="9481" max="9481" width="10.42578125" style="100" bestFit="1" customWidth="1"/>
    <col min="9482" max="9728" width="9.140625" style="100"/>
    <col min="9729" max="9729" width="5.28515625" style="100" customWidth="1"/>
    <col min="9730" max="9730" width="52.140625" style="100" customWidth="1"/>
    <col min="9731" max="9731" width="8" style="100" customWidth="1"/>
    <col min="9732" max="9734" width="14.85546875" style="100" customWidth="1"/>
    <col min="9735" max="9735" width="17.42578125" style="100" customWidth="1"/>
    <col min="9736" max="9736" width="9.140625" style="100"/>
    <col min="9737" max="9737" width="10.42578125" style="100" bestFit="1" customWidth="1"/>
    <col min="9738" max="9984" width="9.140625" style="100"/>
    <col min="9985" max="9985" width="5.28515625" style="100" customWidth="1"/>
    <col min="9986" max="9986" width="52.140625" style="100" customWidth="1"/>
    <col min="9987" max="9987" width="8" style="100" customWidth="1"/>
    <col min="9988" max="9990" width="14.85546875" style="100" customWidth="1"/>
    <col min="9991" max="9991" width="17.42578125" style="100" customWidth="1"/>
    <col min="9992" max="9992" width="9.140625" style="100"/>
    <col min="9993" max="9993" width="10.42578125" style="100" bestFit="1" customWidth="1"/>
    <col min="9994" max="10240" width="9.140625" style="100"/>
    <col min="10241" max="10241" width="5.28515625" style="100" customWidth="1"/>
    <col min="10242" max="10242" width="52.140625" style="100" customWidth="1"/>
    <col min="10243" max="10243" width="8" style="100" customWidth="1"/>
    <col min="10244" max="10246" width="14.85546875" style="100" customWidth="1"/>
    <col min="10247" max="10247" width="17.42578125" style="100" customWidth="1"/>
    <col min="10248" max="10248" width="9.140625" style="100"/>
    <col min="10249" max="10249" width="10.42578125" style="100" bestFit="1" customWidth="1"/>
    <col min="10250" max="10496" width="9.140625" style="100"/>
    <col min="10497" max="10497" width="5.28515625" style="100" customWidth="1"/>
    <col min="10498" max="10498" width="52.140625" style="100" customWidth="1"/>
    <col min="10499" max="10499" width="8" style="100" customWidth="1"/>
    <col min="10500" max="10502" width="14.85546875" style="100" customWidth="1"/>
    <col min="10503" max="10503" width="17.42578125" style="100" customWidth="1"/>
    <col min="10504" max="10504" width="9.140625" style="100"/>
    <col min="10505" max="10505" width="10.42578125" style="100" bestFit="1" customWidth="1"/>
    <col min="10506" max="10752" width="9.140625" style="100"/>
    <col min="10753" max="10753" width="5.28515625" style="100" customWidth="1"/>
    <col min="10754" max="10754" width="52.140625" style="100" customWidth="1"/>
    <col min="10755" max="10755" width="8" style="100" customWidth="1"/>
    <col min="10756" max="10758" width="14.85546875" style="100" customWidth="1"/>
    <col min="10759" max="10759" width="17.42578125" style="100" customWidth="1"/>
    <col min="10760" max="10760" width="9.140625" style="100"/>
    <col min="10761" max="10761" width="10.42578125" style="100" bestFit="1" customWidth="1"/>
    <col min="10762" max="11008" width="9.140625" style="100"/>
    <col min="11009" max="11009" width="5.28515625" style="100" customWidth="1"/>
    <col min="11010" max="11010" width="52.140625" style="100" customWidth="1"/>
    <col min="11011" max="11011" width="8" style="100" customWidth="1"/>
    <col min="11012" max="11014" width="14.85546875" style="100" customWidth="1"/>
    <col min="11015" max="11015" width="17.42578125" style="100" customWidth="1"/>
    <col min="11016" max="11016" width="9.140625" style="100"/>
    <col min="11017" max="11017" width="10.42578125" style="100" bestFit="1" customWidth="1"/>
    <col min="11018" max="11264" width="9.140625" style="100"/>
    <col min="11265" max="11265" width="5.28515625" style="100" customWidth="1"/>
    <col min="11266" max="11266" width="52.140625" style="100" customWidth="1"/>
    <col min="11267" max="11267" width="8" style="100" customWidth="1"/>
    <col min="11268" max="11270" width="14.85546875" style="100" customWidth="1"/>
    <col min="11271" max="11271" width="17.42578125" style="100" customWidth="1"/>
    <col min="11272" max="11272" width="9.140625" style="100"/>
    <col min="11273" max="11273" width="10.42578125" style="100" bestFit="1" customWidth="1"/>
    <col min="11274" max="11520" width="9.140625" style="100"/>
    <col min="11521" max="11521" width="5.28515625" style="100" customWidth="1"/>
    <col min="11522" max="11522" width="52.140625" style="100" customWidth="1"/>
    <col min="11523" max="11523" width="8" style="100" customWidth="1"/>
    <col min="11524" max="11526" width="14.85546875" style="100" customWidth="1"/>
    <col min="11527" max="11527" width="17.42578125" style="100" customWidth="1"/>
    <col min="11528" max="11528" width="9.140625" style="100"/>
    <col min="11529" max="11529" width="10.42578125" style="100" bestFit="1" customWidth="1"/>
    <col min="11530" max="11776" width="9.140625" style="100"/>
    <col min="11777" max="11777" width="5.28515625" style="100" customWidth="1"/>
    <col min="11778" max="11778" width="52.140625" style="100" customWidth="1"/>
    <col min="11779" max="11779" width="8" style="100" customWidth="1"/>
    <col min="11780" max="11782" width="14.85546875" style="100" customWidth="1"/>
    <col min="11783" max="11783" width="17.42578125" style="100" customWidth="1"/>
    <col min="11784" max="11784" width="9.140625" style="100"/>
    <col min="11785" max="11785" width="10.42578125" style="100" bestFit="1" customWidth="1"/>
    <col min="11786" max="12032" width="9.140625" style="100"/>
    <col min="12033" max="12033" width="5.28515625" style="100" customWidth="1"/>
    <col min="12034" max="12034" width="52.140625" style="100" customWidth="1"/>
    <col min="12035" max="12035" width="8" style="100" customWidth="1"/>
    <col min="12036" max="12038" width="14.85546875" style="100" customWidth="1"/>
    <col min="12039" max="12039" width="17.42578125" style="100" customWidth="1"/>
    <col min="12040" max="12040" width="9.140625" style="100"/>
    <col min="12041" max="12041" width="10.42578125" style="100" bestFit="1" customWidth="1"/>
    <col min="12042" max="12288" width="9.140625" style="100"/>
    <col min="12289" max="12289" width="5.28515625" style="100" customWidth="1"/>
    <col min="12290" max="12290" width="52.140625" style="100" customWidth="1"/>
    <col min="12291" max="12291" width="8" style="100" customWidth="1"/>
    <col min="12292" max="12294" width="14.85546875" style="100" customWidth="1"/>
    <col min="12295" max="12295" width="17.42578125" style="100" customWidth="1"/>
    <col min="12296" max="12296" width="9.140625" style="100"/>
    <col min="12297" max="12297" width="10.42578125" style="100" bestFit="1" customWidth="1"/>
    <col min="12298" max="12544" width="9.140625" style="100"/>
    <col min="12545" max="12545" width="5.28515625" style="100" customWidth="1"/>
    <col min="12546" max="12546" width="52.140625" style="100" customWidth="1"/>
    <col min="12547" max="12547" width="8" style="100" customWidth="1"/>
    <col min="12548" max="12550" width="14.85546875" style="100" customWidth="1"/>
    <col min="12551" max="12551" width="17.42578125" style="100" customWidth="1"/>
    <col min="12552" max="12552" width="9.140625" style="100"/>
    <col min="12553" max="12553" width="10.42578125" style="100" bestFit="1" customWidth="1"/>
    <col min="12554" max="12800" width="9.140625" style="100"/>
    <col min="12801" max="12801" width="5.28515625" style="100" customWidth="1"/>
    <col min="12802" max="12802" width="52.140625" style="100" customWidth="1"/>
    <col min="12803" max="12803" width="8" style="100" customWidth="1"/>
    <col min="12804" max="12806" width="14.85546875" style="100" customWidth="1"/>
    <col min="12807" max="12807" width="17.42578125" style="100" customWidth="1"/>
    <col min="12808" max="12808" width="9.140625" style="100"/>
    <col min="12809" max="12809" width="10.42578125" style="100" bestFit="1" customWidth="1"/>
    <col min="12810" max="13056" width="9.140625" style="100"/>
    <col min="13057" max="13057" width="5.28515625" style="100" customWidth="1"/>
    <col min="13058" max="13058" width="52.140625" style="100" customWidth="1"/>
    <col min="13059" max="13059" width="8" style="100" customWidth="1"/>
    <col min="13060" max="13062" width="14.85546875" style="100" customWidth="1"/>
    <col min="13063" max="13063" width="17.42578125" style="100" customWidth="1"/>
    <col min="13064" max="13064" width="9.140625" style="100"/>
    <col min="13065" max="13065" width="10.42578125" style="100" bestFit="1" customWidth="1"/>
    <col min="13066" max="13312" width="9.140625" style="100"/>
    <col min="13313" max="13313" width="5.28515625" style="100" customWidth="1"/>
    <col min="13314" max="13314" width="52.140625" style="100" customWidth="1"/>
    <col min="13315" max="13315" width="8" style="100" customWidth="1"/>
    <col min="13316" max="13318" width="14.85546875" style="100" customWidth="1"/>
    <col min="13319" max="13319" width="17.42578125" style="100" customWidth="1"/>
    <col min="13320" max="13320" width="9.140625" style="100"/>
    <col min="13321" max="13321" width="10.42578125" style="100" bestFit="1" customWidth="1"/>
    <col min="13322" max="13568" width="9.140625" style="100"/>
    <col min="13569" max="13569" width="5.28515625" style="100" customWidth="1"/>
    <col min="13570" max="13570" width="52.140625" style="100" customWidth="1"/>
    <col min="13571" max="13571" width="8" style="100" customWidth="1"/>
    <col min="13572" max="13574" width="14.85546875" style="100" customWidth="1"/>
    <col min="13575" max="13575" width="17.42578125" style="100" customWidth="1"/>
    <col min="13576" max="13576" width="9.140625" style="100"/>
    <col min="13577" max="13577" width="10.42578125" style="100" bestFit="1" customWidth="1"/>
    <col min="13578" max="13824" width="9.140625" style="100"/>
    <col min="13825" max="13825" width="5.28515625" style="100" customWidth="1"/>
    <col min="13826" max="13826" width="52.140625" style="100" customWidth="1"/>
    <col min="13827" max="13827" width="8" style="100" customWidth="1"/>
    <col min="13828" max="13830" width="14.85546875" style="100" customWidth="1"/>
    <col min="13831" max="13831" width="17.42578125" style="100" customWidth="1"/>
    <col min="13832" max="13832" width="9.140625" style="100"/>
    <col min="13833" max="13833" width="10.42578125" style="100" bestFit="1" customWidth="1"/>
    <col min="13834" max="14080" width="9.140625" style="100"/>
    <col min="14081" max="14081" width="5.28515625" style="100" customWidth="1"/>
    <col min="14082" max="14082" width="52.140625" style="100" customWidth="1"/>
    <col min="14083" max="14083" width="8" style="100" customWidth="1"/>
    <col min="14084" max="14086" width="14.85546875" style="100" customWidth="1"/>
    <col min="14087" max="14087" width="17.42578125" style="100" customWidth="1"/>
    <col min="14088" max="14088" width="9.140625" style="100"/>
    <col min="14089" max="14089" width="10.42578125" style="100" bestFit="1" customWidth="1"/>
    <col min="14090" max="14336" width="9.140625" style="100"/>
    <col min="14337" max="14337" width="5.28515625" style="100" customWidth="1"/>
    <col min="14338" max="14338" width="52.140625" style="100" customWidth="1"/>
    <col min="14339" max="14339" width="8" style="100" customWidth="1"/>
    <col min="14340" max="14342" width="14.85546875" style="100" customWidth="1"/>
    <col min="14343" max="14343" width="17.42578125" style="100" customWidth="1"/>
    <col min="14344" max="14344" width="9.140625" style="100"/>
    <col min="14345" max="14345" width="10.42578125" style="100" bestFit="1" customWidth="1"/>
    <col min="14346" max="14592" width="9.140625" style="100"/>
    <col min="14593" max="14593" width="5.28515625" style="100" customWidth="1"/>
    <col min="14594" max="14594" width="52.140625" style="100" customWidth="1"/>
    <col min="14595" max="14595" width="8" style="100" customWidth="1"/>
    <col min="14596" max="14598" width="14.85546875" style="100" customWidth="1"/>
    <col min="14599" max="14599" width="17.42578125" style="100" customWidth="1"/>
    <col min="14600" max="14600" width="9.140625" style="100"/>
    <col min="14601" max="14601" width="10.42578125" style="100" bestFit="1" customWidth="1"/>
    <col min="14602" max="14848" width="9.140625" style="100"/>
    <col min="14849" max="14849" width="5.28515625" style="100" customWidth="1"/>
    <col min="14850" max="14850" width="52.140625" style="100" customWidth="1"/>
    <col min="14851" max="14851" width="8" style="100" customWidth="1"/>
    <col min="14852" max="14854" width="14.85546875" style="100" customWidth="1"/>
    <col min="14855" max="14855" width="17.42578125" style="100" customWidth="1"/>
    <col min="14856" max="14856" width="9.140625" style="100"/>
    <col min="14857" max="14857" width="10.42578125" style="100" bestFit="1" customWidth="1"/>
    <col min="14858" max="15104" width="9.140625" style="100"/>
    <col min="15105" max="15105" width="5.28515625" style="100" customWidth="1"/>
    <col min="15106" max="15106" width="52.140625" style="100" customWidth="1"/>
    <col min="15107" max="15107" width="8" style="100" customWidth="1"/>
    <col min="15108" max="15110" width="14.85546875" style="100" customWidth="1"/>
    <col min="15111" max="15111" width="17.42578125" style="100" customWidth="1"/>
    <col min="15112" max="15112" width="9.140625" style="100"/>
    <col min="15113" max="15113" width="10.42578125" style="100" bestFit="1" customWidth="1"/>
    <col min="15114" max="15360" width="9.140625" style="100"/>
    <col min="15361" max="15361" width="5.28515625" style="100" customWidth="1"/>
    <col min="15362" max="15362" width="52.140625" style="100" customWidth="1"/>
    <col min="15363" max="15363" width="8" style="100" customWidth="1"/>
    <col min="15364" max="15366" width="14.85546875" style="100" customWidth="1"/>
    <col min="15367" max="15367" width="17.42578125" style="100" customWidth="1"/>
    <col min="15368" max="15368" width="9.140625" style="100"/>
    <col min="15369" max="15369" width="10.42578125" style="100" bestFit="1" customWidth="1"/>
    <col min="15370" max="15616" width="9.140625" style="100"/>
    <col min="15617" max="15617" width="5.28515625" style="100" customWidth="1"/>
    <col min="15618" max="15618" width="52.140625" style="100" customWidth="1"/>
    <col min="15619" max="15619" width="8" style="100" customWidth="1"/>
    <col min="15620" max="15622" width="14.85546875" style="100" customWidth="1"/>
    <col min="15623" max="15623" width="17.42578125" style="100" customWidth="1"/>
    <col min="15624" max="15624" width="9.140625" style="100"/>
    <col min="15625" max="15625" width="10.42578125" style="100" bestFit="1" customWidth="1"/>
    <col min="15626" max="15872" width="9.140625" style="100"/>
    <col min="15873" max="15873" width="5.28515625" style="100" customWidth="1"/>
    <col min="15874" max="15874" width="52.140625" style="100" customWidth="1"/>
    <col min="15875" max="15875" width="8" style="100" customWidth="1"/>
    <col min="15876" max="15878" width="14.85546875" style="100" customWidth="1"/>
    <col min="15879" max="15879" width="17.42578125" style="100" customWidth="1"/>
    <col min="15880" max="15880" width="9.140625" style="100"/>
    <col min="15881" max="15881" width="10.42578125" style="100" bestFit="1" customWidth="1"/>
    <col min="15882" max="16128" width="9.140625" style="100"/>
    <col min="16129" max="16129" width="5.28515625" style="100" customWidth="1"/>
    <col min="16130" max="16130" width="52.140625" style="100" customWidth="1"/>
    <col min="16131" max="16131" width="8" style="100" customWidth="1"/>
    <col min="16132" max="16134" width="14.85546875" style="100" customWidth="1"/>
    <col min="16135" max="16135" width="17.42578125" style="100" customWidth="1"/>
    <col min="16136" max="16136" width="9.140625" style="100"/>
    <col min="16137" max="16137" width="10.42578125" style="100" bestFit="1" customWidth="1"/>
    <col min="16138" max="16384" width="9.140625" style="100"/>
  </cols>
  <sheetData>
    <row r="1" spans="1:7" s="99" customFormat="1" ht="18.75" customHeight="1">
      <c r="A1" s="407" t="s">
        <v>145</v>
      </c>
      <c r="B1" s="407"/>
      <c r="C1" s="407"/>
      <c r="D1" s="407"/>
      <c r="E1" s="407"/>
      <c r="F1" s="407"/>
      <c r="G1" s="407"/>
    </row>
    <row r="2" spans="1:7" ht="14.25" customHeight="1">
      <c r="A2" s="428" t="s">
        <v>2</v>
      </c>
      <c r="B2" s="430" t="s">
        <v>45</v>
      </c>
      <c r="C2" s="430" t="s">
        <v>46</v>
      </c>
      <c r="D2" s="102" t="s">
        <v>5</v>
      </c>
      <c r="E2" s="101" t="s">
        <v>5</v>
      </c>
      <c r="F2" s="101" t="s">
        <v>5</v>
      </c>
      <c r="G2" s="102" t="s">
        <v>5</v>
      </c>
    </row>
    <row r="3" spans="1:7" ht="14.25" customHeight="1">
      <c r="A3" s="429"/>
      <c r="B3" s="431"/>
      <c r="C3" s="431"/>
      <c r="D3" s="104" t="s">
        <v>6</v>
      </c>
      <c r="E3" s="103" t="s">
        <v>6</v>
      </c>
      <c r="F3" s="103" t="s">
        <v>6</v>
      </c>
      <c r="G3" s="104" t="s">
        <v>7</v>
      </c>
    </row>
    <row r="4" spans="1:7" ht="14.25" customHeight="1">
      <c r="A4" s="30"/>
      <c r="B4" s="121"/>
      <c r="C4" s="121"/>
      <c r="D4" s="106" t="s">
        <v>143</v>
      </c>
      <c r="E4" s="6" t="s">
        <v>140</v>
      </c>
      <c r="F4" s="6" t="s">
        <v>141</v>
      </c>
      <c r="G4" s="106"/>
    </row>
    <row r="5" spans="1:7" ht="14.25" customHeight="1">
      <c r="A5" s="122" t="s">
        <v>8</v>
      </c>
      <c r="B5" s="33" t="s">
        <v>47</v>
      </c>
      <c r="C5" s="34" t="s">
        <v>10</v>
      </c>
      <c r="D5" s="35">
        <f>D6+D7+D9+D20+D21</f>
        <v>169237222</v>
      </c>
      <c r="E5" s="35">
        <f>E6+E7+E9+E20+E21</f>
        <v>20507019</v>
      </c>
      <c r="F5" s="123">
        <f>+D5+E5</f>
        <v>189744241</v>
      </c>
      <c r="G5" s="36">
        <f>G6+G7+G9+G20+G21</f>
        <v>100065763</v>
      </c>
    </row>
    <row r="6" spans="1:7" ht="13.5" customHeight="1">
      <c r="A6" s="124"/>
      <c r="B6" s="38" t="s">
        <v>48</v>
      </c>
      <c r="C6" s="38"/>
      <c r="D6" s="19"/>
      <c r="E6" s="110"/>
      <c r="F6" s="123">
        <f t="shared" ref="F6:F41" si="0">+D6+E6</f>
        <v>0</v>
      </c>
      <c r="G6" s="16"/>
    </row>
    <row r="7" spans="1:7" ht="13.5" customHeight="1">
      <c r="A7" s="124"/>
      <c r="B7" s="39" t="s">
        <v>49</v>
      </c>
      <c r="C7" s="40"/>
      <c r="D7" s="19">
        <f>SUM(D8:D8)</f>
        <v>0</v>
      </c>
      <c r="E7" s="110"/>
      <c r="F7" s="123">
        <f t="shared" si="0"/>
        <v>0</v>
      </c>
      <c r="G7" s="16">
        <f>+G8</f>
        <v>0</v>
      </c>
    </row>
    <row r="8" spans="1:7" ht="13.5" customHeight="1">
      <c r="A8" s="124"/>
      <c r="B8" s="41" t="s">
        <v>51</v>
      </c>
      <c r="C8" s="38"/>
      <c r="D8" s="19">
        <f>+[2]bilanci!L34</f>
        <v>0</v>
      </c>
      <c r="E8" s="110"/>
      <c r="F8" s="123">
        <f t="shared" si="0"/>
        <v>0</v>
      </c>
      <c r="G8" s="16"/>
    </row>
    <row r="9" spans="1:7" ht="13.5" customHeight="1">
      <c r="A9" s="124"/>
      <c r="B9" s="38" t="s">
        <v>52</v>
      </c>
      <c r="C9" s="38"/>
      <c r="D9" s="11">
        <f>SUM(D10:D19)</f>
        <v>169237222</v>
      </c>
      <c r="E9" s="11">
        <f>SUM(E10:E19)</f>
        <v>20507019</v>
      </c>
      <c r="F9" s="123">
        <f t="shared" si="0"/>
        <v>189744241</v>
      </c>
      <c r="G9" s="12">
        <f>SUM(G10:G19)</f>
        <v>100065763</v>
      </c>
    </row>
    <row r="10" spans="1:7" ht="13.5" customHeight="1">
      <c r="A10" s="124"/>
      <c r="B10" s="41" t="s">
        <v>53</v>
      </c>
      <c r="C10" s="38"/>
      <c r="D10" s="19">
        <v>100531392</v>
      </c>
      <c r="E10" s="110">
        <v>11211312</v>
      </c>
      <c r="F10" s="125">
        <f t="shared" si="0"/>
        <v>111742704</v>
      </c>
      <c r="G10" s="16">
        <v>82678238</v>
      </c>
    </row>
    <row r="11" spans="1:7" ht="13.5" customHeight="1">
      <c r="A11" s="124"/>
      <c r="B11" s="41" t="s">
        <v>54</v>
      </c>
      <c r="C11" s="38"/>
      <c r="D11" s="19">
        <v>197974</v>
      </c>
      <c r="E11" s="110"/>
      <c r="F11" s="125">
        <f t="shared" si="0"/>
        <v>197974</v>
      </c>
      <c r="G11" s="16">
        <v>159547</v>
      </c>
    </row>
    <row r="12" spans="1:7" ht="13.5" customHeight="1">
      <c r="A12" s="124"/>
      <c r="B12" s="41" t="s">
        <v>55</v>
      </c>
      <c r="C12" s="38"/>
      <c r="D12" s="19">
        <v>710220</v>
      </c>
      <c r="E12" s="110"/>
      <c r="F12" s="125">
        <f t="shared" si="0"/>
        <v>710220</v>
      </c>
      <c r="G12" s="16">
        <v>406901</v>
      </c>
    </row>
    <row r="13" spans="1:7" ht="13.5" customHeight="1">
      <c r="A13" s="124"/>
      <c r="B13" s="41" t="s">
        <v>56</v>
      </c>
      <c r="C13" s="38"/>
      <c r="D13" s="19">
        <v>342827</v>
      </c>
      <c r="E13" s="110">
        <v>47032</v>
      </c>
      <c r="F13" s="125">
        <f t="shared" si="0"/>
        <v>389859</v>
      </c>
      <c r="G13" s="16">
        <v>89015</v>
      </c>
    </row>
    <row r="14" spans="1:7" ht="13.5" customHeight="1">
      <c r="A14" s="124"/>
      <c r="B14" s="41" t="s">
        <v>57</v>
      </c>
      <c r="C14" s="38"/>
      <c r="D14" s="22">
        <v>968727</v>
      </c>
      <c r="E14" s="113">
        <v>3806078</v>
      </c>
      <c r="F14" s="125">
        <f t="shared" si="0"/>
        <v>4774805</v>
      </c>
      <c r="G14" s="16">
        <v>12109302</v>
      </c>
    </row>
    <row r="15" spans="1:7" ht="13.5" customHeight="1">
      <c r="A15" s="124"/>
      <c r="B15" s="41" t="s">
        <v>58</v>
      </c>
      <c r="C15" s="38"/>
      <c r="D15" s="19">
        <v>0</v>
      </c>
      <c r="E15" s="110">
        <v>5442597</v>
      </c>
      <c r="F15" s="125">
        <f t="shared" si="0"/>
        <v>5442597</v>
      </c>
      <c r="G15" s="16">
        <v>4622760</v>
      </c>
    </row>
    <row r="16" spans="1:7" ht="13.5" customHeight="1">
      <c r="A16" s="124"/>
      <c r="B16" s="41" t="s">
        <v>59</v>
      </c>
      <c r="C16" s="38"/>
      <c r="D16" s="19"/>
      <c r="E16" s="110"/>
      <c r="F16" s="123">
        <f t="shared" si="0"/>
        <v>0</v>
      </c>
      <c r="G16" s="16"/>
    </row>
    <row r="17" spans="1:7" ht="13.5" customHeight="1">
      <c r="A17" s="124"/>
      <c r="B17" s="41" t="s">
        <v>60</v>
      </c>
      <c r="C17" s="38"/>
      <c r="D17" s="19"/>
      <c r="E17" s="110"/>
      <c r="F17" s="123">
        <f t="shared" si="0"/>
        <v>0</v>
      </c>
      <c r="G17" s="16"/>
    </row>
    <row r="18" spans="1:7" ht="13.5" customHeight="1">
      <c r="A18" s="124"/>
      <c r="B18" s="41" t="s">
        <v>61</v>
      </c>
      <c r="C18" s="38"/>
      <c r="D18" s="19"/>
      <c r="E18" s="110"/>
      <c r="F18" s="123">
        <f t="shared" si="0"/>
        <v>0</v>
      </c>
      <c r="G18" s="16"/>
    </row>
    <row r="19" spans="1:7" ht="13.5" customHeight="1">
      <c r="A19" s="173"/>
      <c r="B19" s="41" t="s">
        <v>62</v>
      </c>
      <c r="C19" s="41"/>
      <c r="D19" s="19">
        <v>66486082</v>
      </c>
      <c r="E19" s="110"/>
      <c r="F19" s="125">
        <f t="shared" si="0"/>
        <v>66486082</v>
      </c>
      <c r="G19" s="16"/>
    </row>
    <row r="20" spans="1:7" ht="13.5" customHeight="1">
      <c r="A20" s="124"/>
      <c r="B20" s="38" t="s">
        <v>63</v>
      </c>
      <c r="C20" s="38"/>
      <c r="D20" s="19"/>
      <c r="E20" s="110"/>
      <c r="F20" s="123">
        <f t="shared" si="0"/>
        <v>0</v>
      </c>
      <c r="G20" s="16"/>
    </row>
    <row r="21" spans="1:7" ht="13.5" customHeight="1">
      <c r="A21" s="124"/>
      <c r="B21" s="38" t="s">
        <v>64</v>
      </c>
      <c r="C21" s="38"/>
      <c r="D21" s="19"/>
      <c r="E21" s="110"/>
      <c r="F21" s="123">
        <f t="shared" si="0"/>
        <v>0</v>
      </c>
      <c r="G21" s="16"/>
    </row>
    <row r="22" spans="1:7" ht="13.5" customHeight="1">
      <c r="A22" s="126" t="s">
        <v>33</v>
      </c>
      <c r="B22" s="42" t="s">
        <v>65</v>
      </c>
      <c r="C22" s="38"/>
      <c r="D22" s="11">
        <f>+D23+D26+D27+D28+D24</f>
        <v>178300889</v>
      </c>
      <c r="E22" s="11">
        <f>+E23+E26+E27+E28+E24</f>
        <v>0</v>
      </c>
      <c r="F22" s="123">
        <f t="shared" si="0"/>
        <v>178300889</v>
      </c>
      <c r="G22" s="12">
        <f>+G23+G26+G27+G28+G24</f>
        <v>201129200</v>
      </c>
    </row>
    <row r="23" spans="1:7" ht="13.5" customHeight="1">
      <c r="A23" s="124"/>
      <c r="B23" s="38" t="s">
        <v>66</v>
      </c>
      <c r="C23" s="38"/>
      <c r="D23" s="19"/>
      <c r="E23" s="110"/>
      <c r="F23" s="123">
        <f t="shared" si="0"/>
        <v>0</v>
      </c>
      <c r="G23" s="16"/>
    </row>
    <row r="24" spans="1:7" ht="13.5" customHeight="1">
      <c r="A24" s="124"/>
      <c r="B24" s="41" t="s">
        <v>67</v>
      </c>
      <c r="C24" s="38"/>
      <c r="D24" s="19">
        <v>3274780</v>
      </c>
      <c r="E24" s="110"/>
      <c r="F24" s="123">
        <f t="shared" si="0"/>
        <v>3274780</v>
      </c>
      <c r="G24" s="16">
        <v>6989750</v>
      </c>
    </row>
    <row r="25" spans="1:7" ht="13.5" customHeight="1">
      <c r="A25" s="124"/>
      <c r="B25" s="44" t="s">
        <v>69</v>
      </c>
      <c r="C25" s="40"/>
      <c r="D25" s="19"/>
      <c r="E25" s="110"/>
      <c r="F25" s="123">
        <f t="shared" si="0"/>
        <v>0</v>
      </c>
      <c r="G25" s="16"/>
    </row>
    <row r="26" spans="1:7" ht="13.5" customHeight="1">
      <c r="A26" s="124"/>
      <c r="B26" s="38" t="s">
        <v>70</v>
      </c>
      <c r="C26" s="38"/>
      <c r="D26" s="11">
        <f>115839656+59186453</f>
        <v>175026109</v>
      </c>
      <c r="E26" s="112"/>
      <c r="F26" s="123">
        <f t="shared" si="0"/>
        <v>175026109</v>
      </c>
      <c r="G26" s="12">
        <v>194139450</v>
      </c>
    </row>
    <row r="27" spans="1:7" ht="13.5" customHeight="1">
      <c r="A27" s="124"/>
      <c r="B27" s="38" t="s">
        <v>144</v>
      </c>
      <c r="C27" s="38"/>
      <c r="D27" s="19"/>
      <c r="E27" s="110"/>
      <c r="F27" s="123">
        <f t="shared" si="0"/>
        <v>0</v>
      </c>
      <c r="G27" s="16"/>
    </row>
    <row r="28" spans="1:7" ht="13.5" customHeight="1">
      <c r="A28" s="124"/>
      <c r="B28" s="38" t="s">
        <v>72</v>
      </c>
      <c r="C28" s="38"/>
      <c r="D28" s="19"/>
      <c r="E28" s="110"/>
      <c r="F28" s="123">
        <f t="shared" si="0"/>
        <v>0</v>
      </c>
      <c r="G28" s="16"/>
    </row>
    <row r="29" spans="1:7" ht="13.5" customHeight="1">
      <c r="A29" s="124"/>
      <c r="B29" s="42" t="s">
        <v>73</v>
      </c>
      <c r="C29" s="38"/>
      <c r="D29" s="11">
        <f>D22+D5</f>
        <v>347538111</v>
      </c>
      <c r="E29" s="11">
        <f>E22+E5</f>
        <v>20507019</v>
      </c>
      <c r="F29" s="123">
        <f t="shared" si="0"/>
        <v>368045130</v>
      </c>
      <c r="G29" s="12">
        <f>G22+G5</f>
        <v>301194963</v>
      </c>
    </row>
    <row r="30" spans="1:7" ht="13.5" customHeight="1">
      <c r="A30" s="126" t="s">
        <v>74</v>
      </c>
      <c r="B30" s="42" t="s">
        <v>75</v>
      </c>
      <c r="C30" s="38"/>
      <c r="D30" s="11">
        <f>SUM(D31:D40)</f>
        <v>164105926</v>
      </c>
      <c r="E30" s="11">
        <f>SUM(E31:E40)</f>
        <v>75329885</v>
      </c>
      <c r="F30" s="123">
        <f t="shared" si="0"/>
        <v>239435811</v>
      </c>
      <c r="G30" s="16">
        <v>155332293</v>
      </c>
    </row>
    <row r="31" spans="1:7" ht="13.5" customHeight="1">
      <c r="A31" s="124"/>
      <c r="B31" s="38" t="s">
        <v>76</v>
      </c>
      <c r="C31" s="38"/>
      <c r="D31" s="19"/>
      <c r="E31" s="110"/>
      <c r="F31" s="123">
        <f t="shared" si="0"/>
        <v>0</v>
      </c>
      <c r="G31" s="16"/>
    </row>
    <row r="32" spans="1:7" ht="13.5" customHeight="1">
      <c r="A32" s="124"/>
      <c r="B32" s="38" t="s">
        <v>77</v>
      </c>
      <c r="C32" s="38"/>
      <c r="D32" s="19"/>
      <c r="E32" s="110"/>
      <c r="F32" s="123">
        <f t="shared" si="0"/>
        <v>0</v>
      </c>
      <c r="G32" s="16"/>
    </row>
    <row r="33" spans="1:7" ht="13.5" customHeight="1">
      <c r="A33" s="124"/>
      <c r="B33" s="38" t="s">
        <v>78</v>
      </c>
      <c r="C33" s="38"/>
      <c r="D33" s="19">
        <v>80000000</v>
      </c>
      <c r="E33" s="110"/>
      <c r="F33" s="123">
        <f t="shared" si="0"/>
        <v>80000000</v>
      </c>
      <c r="G33" s="16">
        <v>10500000</v>
      </c>
    </row>
    <row r="34" spans="1:7" ht="13.5" customHeight="1">
      <c r="A34" s="124"/>
      <c r="B34" s="38" t="s">
        <v>79</v>
      </c>
      <c r="C34" s="38"/>
      <c r="D34" s="19"/>
      <c r="E34" s="110"/>
      <c r="F34" s="123">
        <f t="shared" si="0"/>
        <v>0</v>
      </c>
      <c r="G34" s="12"/>
    </row>
    <row r="35" spans="1:7" ht="13.5" customHeight="1">
      <c r="A35" s="124"/>
      <c r="B35" s="38" t="s">
        <v>80</v>
      </c>
      <c r="C35" s="38"/>
      <c r="D35" s="19"/>
      <c r="E35" s="110"/>
      <c r="F35" s="123">
        <f t="shared" si="0"/>
        <v>0</v>
      </c>
      <c r="G35" s="16"/>
    </row>
    <row r="36" spans="1:7" ht="13.5" customHeight="1">
      <c r="A36" s="124"/>
      <c r="B36" s="38" t="s">
        <v>81</v>
      </c>
      <c r="C36" s="38"/>
      <c r="D36" s="19"/>
      <c r="E36" s="110"/>
      <c r="F36" s="123">
        <f t="shared" si="0"/>
        <v>0</v>
      </c>
      <c r="G36" s="16"/>
    </row>
    <row r="37" spans="1:7" ht="13.5" customHeight="1">
      <c r="A37" s="124"/>
      <c r="B37" s="38" t="s">
        <v>82</v>
      </c>
      <c r="C37" s="38"/>
      <c r="D37" s="19">
        <v>6048997</v>
      </c>
      <c r="E37" s="110"/>
      <c r="F37" s="123">
        <f t="shared" si="0"/>
        <v>6048997</v>
      </c>
      <c r="G37" s="16">
        <f>2560060+45064</f>
        <v>2605124</v>
      </c>
    </row>
    <row r="38" spans="1:7" ht="13.5" customHeight="1">
      <c r="A38" s="124"/>
      <c r="B38" s="38" t="s">
        <v>83</v>
      </c>
      <c r="C38" s="38"/>
      <c r="D38" s="19">
        <v>29686955</v>
      </c>
      <c r="E38" s="110"/>
      <c r="F38" s="123">
        <f t="shared" si="0"/>
        <v>29686955</v>
      </c>
      <c r="G38" s="16">
        <v>33753359</v>
      </c>
    </row>
    <row r="39" spans="1:7" ht="13.5" customHeight="1">
      <c r="A39" s="124"/>
      <c r="B39" s="38" t="s">
        <v>84</v>
      </c>
      <c r="C39" s="38"/>
      <c r="D39" s="19">
        <v>0</v>
      </c>
      <c r="E39" s="110">
        <v>39901301</v>
      </c>
      <c r="F39" s="123">
        <f t="shared" si="0"/>
        <v>39901301</v>
      </c>
      <c r="G39" s="16">
        <v>-537609</v>
      </c>
    </row>
    <row r="40" spans="1:7" ht="13.5" customHeight="1">
      <c r="A40" s="124"/>
      <c r="B40" s="38" t="s">
        <v>85</v>
      </c>
      <c r="C40" s="38"/>
      <c r="D40" s="19">
        <v>48369974</v>
      </c>
      <c r="E40" s="110">
        <v>35428584</v>
      </c>
      <c r="F40" s="123">
        <f t="shared" si="0"/>
        <v>83798558</v>
      </c>
      <c r="G40" s="16">
        <v>109011419</v>
      </c>
    </row>
    <row r="41" spans="1:7" ht="13.5" customHeight="1">
      <c r="A41" s="124"/>
      <c r="B41" s="38" t="s">
        <v>86</v>
      </c>
      <c r="C41" s="38"/>
      <c r="D41" s="11">
        <f>D5+D22+D30</f>
        <v>511644037</v>
      </c>
      <c r="E41" s="11">
        <f>E5+E22+E30</f>
        <v>95836904</v>
      </c>
      <c r="F41" s="123">
        <f t="shared" si="0"/>
        <v>607480941</v>
      </c>
      <c r="G41" s="12">
        <f>G5+G22+G30</f>
        <v>456527256</v>
      </c>
    </row>
    <row r="42" spans="1:7" s="117" customFormat="1" ht="14.25" customHeight="1">
      <c r="A42" s="127"/>
      <c r="B42" s="127"/>
      <c r="C42" s="127"/>
      <c r="D42" s="127"/>
      <c r="E42" s="127"/>
      <c r="F42" s="127"/>
      <c r="G42" s="127"/>
    </row>
    <row r="43" spans="1:7" s="117" customFormat="1" ht="14.25" customHeight="1">
      <c r="A43" s="127"/>
      <c r="B43" s="127"/>
      <c r="C43" s="127"/>
      <c r="D43" s="127"/>
      <c r="E43" s="128"/>
      <c r="F43" s="128"/>
      <c r="G43" s="129"/>
    </row>
    <row r="44" spans="1:7" s="117" customFormat="1" ht="14.25" customHeight="1">
      <c r="A44" s="127"/>
      <c r="B44" s="127"/>
      <c r="C44" s="127"/>
      <c r="D44" s="127"/>
      <c r="E44" s="127"/>
      <c r="F44" s="127"/>
      <c r="G44" s="129"/>
    </row>
    <row r="45" spans="1:7" s="117" customFormat="1" ht="14.25" customHeight="1">
      <c r="A45" s="127"/>
      <c r="B45" s="2"/>
      <c r="C45" s="2"/>
      <c r="D45" s="129"/>
      <c r="E45" s="129"/>
      <c r="F45" s="129"/>
      <c r="G45" s="130"/>
    </row>
    <row r="46" spans="1:7" s="117" customFormat="1" ht="14.25" customHeight="1">
      <c r="A46" s="127"/>
      <c r="B46" s="127"/>
      <c r="C46" s="127"/>
      <c r="D46" s="129"/>
      <c r="E46" s="129"/>
      <c r="F46" s="129"/>
      <c r="G46" s="129"/>
    </row>
    <row r="47" spans="1:7" s="117" customFormat="1" ht="14.25" customHeight="1">
      <c r="A47" s="127"/>
      <c r="B47" s="127"/>
      <c r="C47" s="127"/>
      <c r="D47" s="129"/>
      <c r="E47" s="129"/>
      <c r="F47" s="129"/>
      <c r="G47" s="129"/>
    </row>
    <row r="48" spans="1:7" s="117" customFormat="1" ht="14.25" customHeight="1">
      <c r="A48" s="127"/>
      <c r="B48" s="127"/>
      <c r="C48" s="127"/>
      <c r="D48" s="129"/>
      <c r="E48" s="129"/>
      <c r="F48" s="129"/>
      <c r="G48" s="129"/>
    </row>
    <row r="49" spans="1:7" s="117" customFormat="1" ht="14.25" customHeight="1">
      <c r="A49" s="127"/>
      <c r="B49" s="127"/>
      <c r="C49" s="127"/>
      <c r="D49" s="129"/>
      <c r="E49" s="129"/>
      <c r="F49" s="129"/>
      <c r="G49" s="129"/>
    </row>
    <row r="50" spans="1:7" s="117" customFormat="1" ht="14.25" customHeight="1">
      <c r="A50" s="127"/>
      <c r="B50" s="127"/>
      <c r="C50" s="127"/>
      <c r="D50" s="129"/>
      <c r="E50" s="129"/>
      <c r="F50" s="129"/>
      <c r="G50" s="129"/>
    </row>
    <row r="51" spans="1:7" s="117" customFormat="1" ht="14.25" customHeight="1">
      <c r="A51" s="131"/>
      <c r="B51" s="131"/>
      <c r="C51" s="131"/>
      <c r="D51" s="129"/>
      <c r="E51" s="129"/>
      <c r="F51" s="129"/>
      <c r="G51" s="129"/>
    </row>
    <row r="52" spans="1:7" s="117" customFormat="1" ht="14.25" customHeight="1">
      <c r="A52" s="131"/>
      <c r="B52" s="131"/>
      <c r="C52" s="131"/>
      <c r="D52" s="129"/>
      <c r="E52" s="129"/>
      <c r="F52" s="129"/>
      <c r="G52" s="129"/>
    </row>
    <row r="53" spans="1:7" ht="14.25" customHeight="1">
      <c r="A53" s="132"/>
      <c r="B53" s="132"/>
      <c r="C53" s="132"/>
      <c r="D53" s="132"/>
      <c r="E53" s="132"/>
      <c r="F53" s="132"/>
      <c r="G53" s="132"/>
    </row>
  </sheetData>
  <mergeCells count="4">
    <mergeCell ref="A1:G1"/>
    <mergeCell ref="A2:A3"/>
    <mergeCell ref="B2:B3"/>
    <mergeCell ref="C2:C3"/>
  </mergeCells>
  <pageMargins left="0.28000000000000003" right="0.7" top="0.35" bottom="0.43" header="0.21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10" sqref="D10"/>
    </sheetView>
  </sheetViews>
  <sheetFormatPr defaultRowHeight="15"/>
  <cols>
    <col min="1" max="1" width="5.85546875" customWidth="1"/>
    <col min="2" max="2" width="59.42578125" customWidth="1"/>
    <col min="3" max="5" width="14.5703125" customWidth="1"/>
    <col min="6" max="6" width="15.5703125" customWidth="1"/>
    <col min="9" max="9" width="16.85546875" bestFit="1" customWidth="1"/>
    <col min="10" max="10" width="11.5703125" bestFit="1" customWidth="1"/>
    <col min="257" max="257" width="5.85546875" customWidth="1"/>
    <col min="258" max="258" width="59.42578125" customWidth="1"/>
    <col min="259" max="261" width="14.5703125" customWidth="1"/>
    <col min="262" max="262" width="15.5703125" customWidth="1"/>
    <col min="265" max="265" width="16.85546875" bestFit="1" customWidth="1"/>
    <col min="513" max="513" width="5.85546875" customWidth="1"/>
    <col min="514" max="514" width="59.42578125" customWidth="1"/>
    <col min="515" max="517" width="14.5703125" customWidth="1"/>
    <col min="518" max="518" width="15.5703125" customWidth="1"/>
    <col min="521" max="521" width="16.85546875" bestFit="1" customWidth="1"/>
    <col min="769" max="769" width="5.85546875" customWidth="1"/>
    <col min="770" max="770" width="59.42578125" customWidth="1"/>
    <col min="771" max="773" width="14.5703125" customWidth="1"/>
    <col min="774" max="774" width="15.5703125" customWidth="1"/>
    <col min="777" max="777" width="16.85546875" bestFit="1" customWidth="1"/>
    <col min="1025" max="1025" width="5.85546875" customWidth="1"/>
    <col min="1026" max="1026" width="59.42578125" customWidth="1"/>
    <col min="1027" max="1029" width="14.5703125" customWidth="1"/>
    <col min="1030" max="1030" width="15.5703125" customWidth="1"/>
    <col min="1033" max="1033" width="16.85546875" bestFit="1" customWidth="1"/>
    <col min="1281" max="1281" width="5.85546875" customWidth="1"/>
    <col min="1282" max="1282" width="59.42578125" customWidth="1"/>
    <col min="1283" max="1285" width="14.5703125" customWidth="1"/>
    <col min="1286" max="1286" width="15.5703125" customWidth="1"/>
    <col min="1289" max="1289" width="16.85546875" bestFit="1" customWidth="1"/>
    <col min="1537" max="1537" width="5.85546875" customWidth="1"/>
    <col min="1538" max="1538" width="59.42578125" customWidth="1"/>
    <col min="1539" max="1541" width="14.5703125" customWidth="1"/>
    <col min="1542" max="1542" width="15.5703125" customWidth="1"/>
    <col min="1545" max="1545" width="16.85546875" bestFit="1" customWidth="1"/>
    <col min="1793" max="1793" width="5.85546875" customWidth="1"/>
    <col min="1794" max="1794" width="59.42578125" customWidth="1"/>
    <col min="1795" max="1797" width="14.5703125" customWidth="1"/>
    <col min="1798" max="1798" width="15.5703125" customWidth="1"/>
    <col min="1801" max="1801" width="16.85546875" bestFit="1" customWidth="1"/>
    <col min="2049" max="2049" width="5.85546875" customWidth="1"/>
    <col min="2050" max="2050" width="59.42578125" customWidth="1"/>
    <col min="2051" max="2053" width="14.5703125" customWidth="1"/>
    <col min="2054" max="2054" width="15.5703125" customWidth="1"/>
    <col min="2057" max="2057" width="16.85546875" bestFit="1" customWidth="1"/>
    <col min="2305" max="2305" width="5.85546875" customWidth="1"/>
    <col min="2306" max="2306" width="59.42578125" customWidth="1"/>
    <col min="2307" max="2309" width="14.5703125" customWidth="1"/>
    <col min="2310" max="2310" width="15.5703125" customWidth="1"/>
    <col min="2313" max="2313" width="16.85546875" bestFit="1" customWidth="1"/>
    <col min="2561" max="2561" width="5.85546875" customWidth="1"/>
    <col min="2562" max="2562" width="59.42578125" customWidth="1"/>
    <col min="2563" max="2565" width="14.5703125" customWidth="1"/>
    <col min="2566" max="2566" width="15.5703125" customWidth="1"/>
    <col min="2569" max="2569" width="16.85546875" bestFit="1" customWidth="1"/>
    <col min="2817" max="2817" width="5.85546875" customWidth="1"/>
    <col min="2818" max="2818" width="59.42578125" customWidth="1"/>
    <col min="2819" max="2821" width="14.5703125" customWidth="1"/>
    <col min="2822" max="2822" width="15.5703125" customWidth="1"/>
    <col min="2825" max="2825" width="16.85546875" bestFit="1" customWidth="1"/>
    <col min="3073" max="3073" width="5.85546875" customWidth="1"/>
    <col min="3074" max="3074" width="59.42578125" customWidth="1"/>
    <col min="3075" max="3077" width="14.5703125" customWidth="1"/>
    <col min="3078" max="3078" width="15.5703125" customWidth="1"/>
    <col min="3081" max="3081" width="16.85546875" bestFit="1" customWidth="1"/>
    <col min="3329" max="3329" width="5.85546875" customWidth="1"/>
    <col min="3330" max="3330" width="59.42578125" customWidth="1"/>
    <col min="3331" max="3333" width="14.5703125" customWidth="1"/>
    <col min="3334" max="3334" width="15.5703125" customWidth="1"/>
    <col min="3337" max="3337" width="16.85546875" bestFit="1" customWidth="1"/>
    <col min="3585" max="3585" width="5.85546875" customWidth="1"/>
    <col min="3586" max="3586" width="59.42578125" customWidth="1"/>
    <col min="3587" max="3589" width="14.5703125" customWidth="1"/>
    <col min="3590" max="3590" width="15.5703125" customWidth="1"/>
    <col min="3593" max="3593" width="16.85546875" bestFit="1" customWidth="1"/>
    <col min="3841" max="3841" width="5.85546875" customWidth="1"/>
    <col min="3842" max="3842" width="59.42578125" customWidth="1"/>
    <col min="3843" max="3845" width="14.5703125" customWidth="1"/>
    <col min="3846" max="3846" width="15.5703125" customWidth="1"/>
    <col min="3849" max="3849" width="16.85546875" bestFit="1" customWidth="1"/>
    <col min="4097" max="4097" width="5.85546875" customWidth="1"/>
    <col min="4098" max="4098" width="59.42578125" customWidth="1"/>
    <col min="4099" max="4101" width="14.5703125" customWidth="1"/>
    <col min="4102" max="4102" width="15.5703125" customWidth="1"/>
    <col min="4105" max="4105" width="16.85546875" bestFit="1" customWidth="1"/>
    <col min="4353" max="4353" width="5.85546875" customWidth="1"/>
    <col min="4354" max="4354" width="59.42578125" customWidth="1"/>
    <col min="4355" max="4357" width="14.5703125" customWidth="1"/>
    <col min="4358" max="4358" width="15.5703125" customWidth="1"/>
    <col min="4361" max="4361" width="16.85546875" bestFit="1" customWidth="1"/>
    <col min="4609" max="4609" width="5.85546875" customWidth="1"/>
    <col min="4610" max="4610" width="59.42578125" customWidth="1"/>
    <col min="4611" max="4613" width="14.5703125" customWidth="1"/>
    <col min="4614" max="4614" width="15.5703125" customWidth="1"/>
    <col min="4617" max="4617" width="16.85546875" bestFit="1" customWidth="1"/>
    <col min="4865" max="4865" width="5.85546875" customWidth="1"/>
    <col min="4866" max="4866" width="59.42578125" customWidth="1"/>
    <col min="4867" max="4869" width="14.5703125" customWidth="1"/>
    <col min="4870" max="4870" width="15.5703125" customWidth="1"/>
    <col min="4873" max="4873" width="16.85546875" bestFit="1" customWidth="1"/>
    <col min="5121" max="5121" width="5.85546875" customWidth="1"/>
    <col min="5122" max="5122" width="59.42578125" customWidth="1"/>
    <col min="5123" max="5125" width="14.5703125" customWidth="1"/>
    <col min="5126" max="5126" width="15.5703125" customWidth="1"/>
    <col min="5129" max="5129" width="16.85546875" bestFit="1" customWidth="1"/>
    <col min="5377" max="5377" width="5.85546875" customWidth="1"/>
    <col min="5378" max="5378" width="59.42578125" customWidth="1"/>
    <col min="5379" max="5381" width="14.5703125" customWidth="1"/>
    <col min="5382" max="5382" width="15.5703125" customWidth="1"/>
    <col min="5385" max="5385" width="16.85546875" bestFit="1" customWidth="1"/>
    <col min="5633" max="5633" width="5.85546875" customWidth="1"/>
    <col min="5634" max="5634" width="59.42578125" customWidth="1"/>
    <col min="5635" max="5637" width="14.5703125" customWidth="1"/>
    <col min="5638" max="5638" width="15.5703125" customWidth="1"/>
    <col min="5641" max="5641" width="16.85546875" bestFit="1" customWidth="1"/>
    <col min="5889" max="5889" width="5.85546875" customWidth="1"/>
    <col min="5890" max="5890" width="59.42578125" customWidth="1"/>
    <col min="5891" max="5893" width="14.5703125" customWidth="1"/>
    <col min="5894" max="5894" width="15.5703125" customWidth="1"/>
    <col min="5897" max="5897" width="16.85546875" bestFit="1" customWidth="1"/>
    <col min="6145" max="6145" width="5.85546875" customWidth="1"/>
    <col min="6146" max="6146" width="59.42578125" customWidth="1"/>
    <col min="6147" max="6149" width="14.5703125" customWidth="1"/>
    <col min="6150" max="6150" width="15.5703125" customWidth="1"/>
    <col min="6153" max="6153" width="16.85546875" bestFit="1" customWidth="1"/>
    <col min="6401" max="6401" width="5.85546875" customWidth="1"/>
    <col min="6402" max="6402" width="59.42578125" customWidth="1"/>
    <col min="6403" max="6405" width="14.5703125" customWidth="1"/>
    <col min="6406" max="6406" width="15.5703125" customWidth="1"/>
    <col min="6409" max="6409" width="16.85546875" bestFit="1" customWidth="1"/>
    <col min="6657" max="6657" width="5.85546875" customWidth="1"/>
    <col min="6658" max="6658" width="59.42578125" customWidth="1"/>
    <col min="6659" max="6661" width="14.5703125" customWidth="1"/>
    <col min="6662" max="6662" width="15.5703125" customWidth="1"/>
    <col min="6665" max="6665" width="16.85546875" bestFit="1" customWidth="1"/>
    <col min="6913" max="6913" width="5.85546875" customWidth="1"/>
    <col min="6914" max="6914" width="59.42578125" customWidth="1"/>
    <col min="6915" max="6917" width="14.5703125" customWidth="1"/>
    <col min="6918" max="6918" width="15.5703125" customWidth="1"/>
    <col min="6921" max="6921" width="16.85546875" bestFit="1" customWidth="1"/>
    <col min="7169" max="7169" width="5.85546875" customWidth="1"/>
    <col min="7170" max="7170" width="59.42578125" customWidth="1"/>
    <col min="7171" max="7173" width="14.5703125" customWidth="1"/>
    <col min="7174" max="7174" width="15.5703125" customWidth="1"/>
    <col min="7177" max="7177" width="16.85546875" bestFit="1" customWidth="1"/>
    <col min="7425" max="7425" width="5.85546875" customWidth="1"/>
    <col min="7426" max="7426" width="59.42578125" customWidth="1"/>
    <col min="7427" max="7429" width="14.5703125" customWidth="1"/>
    <col min="7430" max="7430" width="15.5703125" customWidth="1"/>
    <col min="7433" max="7433" width="16.85546875" bestFit="1" customWidth="1"/>
    <col min="7681" max="7681" width="5.85546875" customWidth="1"/>
    <col min="7682" max="7682" width="59.42578125" customWidth="1"/>
    <col min="7683" max="7685" width="14.5703125" customWidth="1"/>
    <col min="7686" max="7686" width="15.5703125" customWidth="1"/>
    <col min="7689" max="7689" width="16.85546875" bestFit="1" customWidth="1"/>
    <col min="7937" max="7937" width="5.85546875" customWidth="1"/>
    <col min="7938" max="7938" width="59.42578125" customWidth="1"/>
    <col min="7939" max="7941" width="14.5703125" customWidth="1"/>
    <col min="7942" max="7942" width="15.5703125" customWidth="1"/>
    <col min="7945" max="7945" width="16.85546875" bestFit="1" customWidth="1"/>
    <col min="8193" max="8193" width="5.85546875" customWidth="1"/>
    <col min="8194" max="8194" width="59.42578125" customWidth="1"/>
    <col min="8195" max="8197" width="14.5703125" customWidth="1"/>
    <col min="8198" max="8198" width="15.5703125" customWidth="1"/>
    <col min="8201" max="8201" width="16.85546875" bestFit="1" customWidth="1"/>
    <col min="8449" max="8449" width="5.85546875" customWidth="1"/>
    <col min="8450" max="8450" width="59.42578125" customWidth="1"/>
    <col min="8451" max="8453" width="14.5703125" customWidth="1"/>
    <col min="8454" max="8454" width="15.5703125" customWidth="1"/>
    <col min="8457" max="8457" width="16.85546875" bestFit="1" customWidth="1"/>
    <col min="8705" max="8705" width="5.85546875" customWidth="1"/>
    <col min="8706" max="8706" width="59.42578125" customWidth="1"/>
    <col min="8707" max="8709" width="14.5703125" customWidth="1"/>
    <col min="8710" max="8710" width="15.5703125" customWidth="1"/>
    <col min="8713" max="8713" width="16.85546875" bestFit="1" customWidth="1"/>
    <col min="8961" max="8961" width="5.85546875" customWidth="1"/>
    <col min="8962" max="8962" width="59.42578125" customWidth="1"/>
    <col min="8963" max="8965" width="14.5703125" customWidth="1"/>
    <col min="8966" max="8966" width="15.5703125" customWidth="1"/>
    <col min="8969" max="8969" width="16.85546875" bestFit="1" customWidth="1"/>
    <col min="9217" max="9217" width="5.85546875" customWidth="1"/>
    <col min="9218" max="9218" width="59.42578125" customWidth="1"/>
    <col min="9219" max="9221" width="14.5703125" customWidth="1"/>
    <col min="9222" max="9222" width="15.5703125" customWidth="1"/>
    <col min="9225" max="9225" width="16.85546875" bestFit="1" customWidth="1"/>
    <col min="9473" max="9473" width="5.85546875" customWidth="1"/>
    <col min="9474" max="9474" width="59.42578125" customWidth="1"/>
    <col min="9475" max="9477" width="14.5703125" customWidth="1"/>
    <col min="9478" max="9478" width="15.5703125" customWidth="1"/>
    <col min="9481" max="9481" width="16.85546875" bestFit="1" customWidth="1"/>
    <col min="9729" max="9729" width="5.85546875" customWidth="1"/>
    <col min="9730" max="9730" width="59.42578125" customWidth="1"/>
    <col min="9731" max="9733" width="14.5703125" customWidth="1"/>
    <col min="9734" max="9734" width="15.5703125" customWidth="1"/>
    <col min="9737" max="9737" width="16.85546875" bestFit="1" customWidth="1"/>
    <col min="9985" max="9985" width="5.85546875" customWidth="1"/>
    <col min="9986" max="9986" width="59.42578125" customWidth="1"/>
    <col min="9987" max="9989" width="14.5703125" customWidth="1"/>
    <col min="9990" max="9990" width="15.5703125" customWidth="1"/>
    <col min="9993" max="9993" width="16.85546875" bestFit="1" customWidth="1"/>
    <col min="10241" max="10241" width="5.85546875" customWidth="1"/>
    <col min="10242" max="10242" width="59.42578125" customWidth="1"/>
    <col min="10243" max="10245" width="14.5703125" customWidth="1"/>
    <col min="10246" max="10246" width="15.5703125" customWidth="1"/>
    <col min="10249" max="10249" width="16.85546875" bestFit="1" customWidth="1"/>
    <col min="10497" max="10497" width="5.85546875" customWidth="1"/>
    <col min="10498" max="10498" width="59.42578125" customWidth="1"/>
    <col min="10499" max="10501" width="14.5703125" customWidth="1"/>
    <col min="10502" max="10502" width="15.5703125" customWidth="1"/>
    <col min="10505" max="10505" width="16.85546875" bestFit="1" customWidth="1"/>
    <col min="10753" max="10753" width="5.85546875" customWidth="1"/>
    <col min="10754" max="10754" width="59.42578125" customWidth="1"/>
    <col min="10755" max="10757" width="14.5703125" customWidth="1"/>
    <col min="10758" max="10758" width="15.5703125" customWidth="1"/>
    <col min="10761" max="10761" width="16.85546875" bestFit="1" customWidth="1"/>
    <col min="11009" max="11009" width="5.85546875" customWidth="1"/>
    <col min="11010" max="11010" width="59.42578125" customWidth="1"/>
    <col min="11011" max="11013" width="14.5703125" customWidth="1"/>
    <col min="11014" max="11014" width="15.5703125" customWidth="1"/>
    <col min="11017" max="11017" width="16.85546875" bestFit="1" customWidth="1"/>
    <col min="11265" max="11265" width="5.85546875" customWidth="1"/>
    <col min="11266" max="11266" width="59.42578125" customWidth="1"/>
    <col min="11267" max="11269" width="14.5703125" customWidth="1"/>
    <col min="11270" max="11270" width="15.5703125" customWidth="1"/>
    <col min="11273" max="11273" width="16.85546875" bestFit="1" customWidth="1"/>
    <col min="11521" max="11521" width="5.85546875" customWidth="1"/>
    <col min="11522" max="11522" width="59.42578125" customWidth="1"/>
    <col min="11523" max="11525" width="14.5703125" customWidth="1"/>
    <col min="11526" max="11526" width="15.5703125" customWidth="1"/>
    <col min="11529" max="11529" width="16.85546875" bestFit="1" customWidth="1"/>
    <col min="11777" max="11777" width="5.85546875" customWidth="1"/>
    <col min="11778" max="11778" width="59.42578125" customWidth="1"/>
    <col min="11779" max="11781" width="14.5703125" customWidth="1"/>
    <col min="11782" max="11782" width="15.5703125" customWidth="1"/>
    <col min="11785" max="11785" width="16.85546875" bestFit="1" customWidth="1"/>
    <col min="12033" max="12033" width="5.85546875" customWidth="1"/>
    <col min="12034" max="12034" width="59.42578125" customWidth="1"/>
    <col min="12035" max="12037" width="14.5703125" customWidth="1"/>
    <col min="12038" max="12038" width="15.5703125" customWidth="1"/>
    <col min="12041" max="12041" width="16.85546875" bestFit="1" customWidth="1"/>
    <col min="12289" max="12289" width="5.85546875" customWidth="1"/>
    <col min="12290" max="12290" width="59.42578125" customWidth="1"/>
    <col min="12291" max="12293" width="14.5703125" customWidth="1"/>
    <col min="12294" max="12294" width="15.5703125" customWidth="1"/>
    <col min="12297" max="12297" width="16.85546875" bestFit="1" customWidth="1"/>
    <col min="12545" max="12545" width="5.85546875" customWidth="1"/>
    <col min="12546" max="12546" width="59.42578125" customWidth="1"/>
    <col min="12547" max="12549" width="14.5703125" customWidth="1"/>
    <col min="12550" max="12550" width="15.5703125" customWidth="1"/>
    <col min="12553" max="12553" width="16.85546875" bestFit="1" customWidth="1"/>
    <col min="12801" max="12801" width="5.85546875" customWidth="1"/>
    <col min="12802" max="12802" width="59.42578125" customWidth="1"/>
    <col min="12803" max="12805" width="14.5703125" customWidth="1"/>
    <col min="12806" max="12806" width="15.5703125" customWidth="1"/>
    <col min="12809" max="12809" width="16.85546875" bestFit="1" customWidth="1"/>
    <col min="13057" max="13057" width="5.85546875" customWidth="1"/>
    <col min="13058" max="13058" width="59.42578125" customWidth="1"/>
    <col min="13059" max="13061" width="14.5703125" customWidth="1"/>
    <col min="13062" max="13062" width="15.5703125" customWidth="1"/>
    <col min="13065" max="13065" width="16.85546875" bestFit="1" customWidth="1"/>
    <col min="13313" max="13313" width="5.85546875" customWidth="1"/>
    <col min="13314" max="13314" width="59.42578125" customWidth="1"/>
    <col min="13315" max="13317" width="14.5703125" customWidth="1"/>
    <col min="13318" max="13318" width="15.5703125" customWidth="1"/>
    <col min="13321" max="13321" width="16.85546875" bestFit="1" customWidth="1"/>
    <col min="13569" max="13569" width="5.85546875" customWidth="1"/>
    <col min="13570" max="13570" width="59.42578125" customWidth="1"/>
    <col min="13571" max="13573" width="14.5703125" customWidth="1"/>
    <col min="13574" max="13574" width="15.5703125" customWidth="1"/>
    <col min="13577" max="13577" width="16.85546875" bestFit="1" customWidth="1"/>
    <col min="13825" max="13825" width="5.85546875" customWidth="1"/>
    <col min="13826" max="13826" width="59.42578125" customWidth="1"/>
    <col min="13827" max="13829" width="14.5703125" customWidth="1"/>
    <col min="13830" max="13830" width="15.5703125" customWidth="1"/>
    <col min="13833" max="13833" width="16.85546875" bestFit="1" customWidth="1"/>
    <col min="14081" max="14081" width="5.85546875" customWidth="1"/>
    <col min="14082" max="14082" width="59.42578125" customWidth="1"/>
    <col min="14083" max="14085" width="14.5703125" customWidth="1"/>
    <col min="14086" max="14086" width="15.5703125" customWidth="1"/>
    <col min="14089" max="14089" width="16.85546875" bestFit="1" customWidth="1"/>
    <col min="14337" max="14337" width="5.85546875" customWidth="1"/>
    <col min="14338" max="14338" width="59.42578125" customWidth="1"/>
    <col min="14339" max="14341" width="14.5703125" customWidth="1"/>
    <col min="14342" max="14342" width="15.5703125" customWidth="1"/>
    <col min="14345" max="14345" width="16.85546875" bestFit="1" customWidth="1"/>
    <col min="14593" max="14593" width="5.85546875" customWidth="1"/>
    <col min="14594" max="14594" width="59.42578125" customWidth="1"/>
    <col min="14595" max="14597" width="14.5703125" customWidth="1"/>
    <col min="14598" max="14598" width="15.5703125" customWidth="1"/>
    <col min="14601" max="14601" width="16.85546875" bestFit="1" customWidth="1"/>
    <col min="14849" max="14849" width="5.85546875" customWidth="1"/>
    <col min="14850" max="14850" width="59.42578125" customWidth="1"/>
    <col min="14851" max="14853" width="14.5703125" customWidth="1"/>
    <col min="14854" max="14854" width="15.5703125" customWidth="1"/>
    <col min="14857" max="14857" width="16.85546875" bestFit="1" customWidth="1"/>
    <col min="15105" max="15105" width="5.85546875" customWidth="1"/>
    <col min="15106" max="15106" width="59.42578125" customWidth="1"/>
    <col min="15107" max="15109" width="14.5703125" customWidth="1"/>
    <col min="15110" max="15110" width="15.5703125" customWidth="1"/>
    <col min="15113" max="15113" width="16.85546875" bestFit="1" customWidth="1"/>
    <col min="15361" max="15361" width="5.85546875" customWidth="1"/>
    <col min="15362" max="15362" width="59.42578125" customWidth="1"/>
    <col min="15363" max="15365" width="14.5703125" customWidth="1"/>
    <col min="15366" max="15366" width="15.5703125" customWidth="1"/>
    <col min="15369" max="15369" width="16.85546875" bestFit="1" customWidth="1"/>
    <col min="15617" max="15617" width="5.85546875" customWidth="1"/>
    <col min="15618" max="15618" width="59.42578125" customWidth="1"/>
    <col min="15619" max="15621" width="14.5703125" customWidth="1"/>
    <col min="15622" max="15622" width="15.5703125" customWidth="1"/>
    <col min="15625" max="15625" width="16.85546875" bestFit="1" customWidth="1"/>
    <col min="15873" max="15873" width="5.85546875" customWidth="1"/>
    <col min="15874" max="15874" width="59.42578125" customWidth="1"/>
    <col min="15875" max="15877" width="14.5703125" customWidth="1"/>
    <col min="15878" max="15878" width="15.5703125" customWidth="1"/>
    <col min="15881" max="15881" width="16.85546875" bestFit="1" customWidth="1"/>
    <col min="16129" max="16129" width="5.85546875" customWidth="1"/>
    <col min="16130" max="16130" width="59.42578125" customWidth="1"/>
    <col min="16131" max="16133" width="14.5703125" customWidth="1"/>
    <col min="16134" max="16134" width="15.5703125" customWidth="1"/>
    <col min="16137" max="16137" width="16.85546875" bestFit="1" customWidth="1"/>
  </cols>
  <sheetData>
    <row r="1" spans="1:6" ht="21">
      <c r="A1" s="407" t="s">
        <v>148</v>
      </c>
      <c r="B1" s="407"/>
      <c r="C1" s="407"/>
      <c r="D1" s="407"/>
      <c r="E1" s="407"/>
      <c r="F1" s="407"/>
    </row>
    <row r="2" spans="1:6" ht="21">
      <c r="A2" s="432" t="s">
        <v>88</v>
      </c>
      <c r="B2" s="432"/>
      <c r="C2" s="432"/>
      <c r="D2" s="432"/>
      <c r="E2" s="432"/>
      <c r="F2" s="432"/>
    </row>
    <row r="3" spans="1:6">
      <c r="A3" s="428" t="s">
        <v>2</v>
      </c>
      <c r="B3" s="433" t="s">
        <v>89</v>
      </c>
      <c r="C3" s="102" t="s">
        <v>5</v>
      </c>
      <c r="D3" s="101" t="s">
        <v>5</v>
      </c>
      <c r="E3" s="101" t="s">
        <v>5</v>
      </c>
      <c r="F3" s="102" t="s">
        <v>5</v>
      </c>
    </row>
    <row r="4" spans="1:6">
      <c r="A4" s="411"/>
      <c r="B4" s="423"/>
      <c r="C4" s="104" t="s">
        <v>6</v>
      </c>
      <c r="D4" s="103" t="s">
        <v>6</v>
      </c>
      <c r="E4" s="103" t="s">
        <v>6</v>
      </c>
      <c r="F4" s="104" t="s">
        <v>7</v>
      </c>
    </row>
    <row r="5" spans="1:6" ht="16.5">
      <c r="A5" s="30"/>
      <c r="B5" s="33"/>
      <c r="C5" s="106" t="s">
        <v>146</v>
      </c>
      <c r="D5" s="6" t="s">
        <v>147</v>
      </c>
      <c r="E5" s="6" t="s">
        <v>141</v>
      </c>
      <c r="F5" s="106"/>
    </row>
    <row r="6" spans="1:6" ht="16.5">
      <c r="A6" s="133">
        <v>1</v>
      </c>
      <c r="B6" s="134" t="s">
        <v>90</v>
      </c>
      <c r="C6" s="35">
        <f>+'ardh nat'!C8</f>
        <v>729109001.97240007</v>
      </c>
      <c r="D6" s="35">
        <v>77441792</v>
      </c>
      <c r="E6" s="35">
        <f>+C6+D6</f>
        <v>806550793.97240007</v>
      </c>
      <c r="F6" s="35">
        <v>428744872</v>
      </c>
    </row>
    <row r="7" spans="1:6" ht="16.5">
      <c r="A7" s="133"/>
      <c r="B7" s="134" t="s">
        <v>91</v>
      </c>
      <c r="C7" s="35"/>
      <c r="D7" s="35"/>
      <c r="E7" s="35">
        <f t="shared" ref="E7:E31" si="0">+C7+D7</f>
        <v>0</v>
      </c>
      <c r="F7" s="35"/>
    </row>
    <row r="8" spans="1:6" ht="16.5">
      <c r="A8" s="133">
        <v>2</v>
      </c>
      <c r="B8" s="135" t="s">
        <v>92</v>
      </c>
      <c r="C8" s="19"/>
      <c r="D8" s="19"/>
      <c r="E8" s="35">
        <f t="shared" si="0"/>
        <v>0</v>
      </c>
      <c r="F8" s="19"/>
    </row>
    <row r="9" spans="1:6" ht="16.5">
      <c r="A9" s="133">
        <v>3</v>
      </c>
      <c r="B9" s="136" t="s">
        <v>93</v>
      </c>
      <c r="C9" s="19">
        <f>+'ardh nat'!C11</f>
        <v>6312568.0027000904</v>
      </c>
      <c r="D9" s="19"/>
      <c r="E9" s="35">
        <f t="shared" si="0"/>
        <v>6312568.0027000904</v>
      </c>
      <c r="F9" s="19">
        <v>-22241423</v>
      </c>
    </row>
    <row r="10" spans="1:6" ht="16.5">
      <c r="A10" s="133">
        <v>4</v>
      </c>
      <c r="B10" s="135" t="s">
        <v>94</v>
      </c>
      <c r="C10" s="11">
        <f>+'ardh nat'!C12</f>
        <v>423507279.90270007</v>
      </c>
      <c r="D10" s="19">
        <v>24496178</v>
      </c>
      <c r="E10" s="35">
        <f t="shared" si="0"/>
        <v>448003457.90270007</v>
      </c>
      <c r="F10" s="11">
        <v>173136051</v>
      </c>
    </row>
    <row r="11" spans="1:6" ht="16.5">
      <c r="A11" s="133"/>
      <c r="B11" s="135" t="s">
        <v>95</v>
      </c>
      <c r="C11" s="11"/>
      <c r="D11" s="11"/>
      <c r="E11" s="35">
        <f t="shared" si="0"/>
        <v>0</v>
      </c>
      <c r="F11" s="11">
        <f>+F7</f>
        <v>0</v>
      </c>
    </row>
    <row r="12" spans="1:6" ht="16.5">
      <c r="A12" s="133">
        <v>5</v>
      </c>
      <c r="B12" s="135" t="s">
        <v>96</v>
      </c>
      <c r="C12" s="11">
        <f>+C13+C14</f>
        <v>39886126.819471613</v>
      </c>
      <c r="D12" s="11">
        <f>+D13+D14</f>
        <v>7189147</v>
      </c>
      <c r="E12" s="35">
        <f t="shared" si="0"/>
        <v>47075273.819471613</v>
      </c>
      <c r="F12" s="11">
        <f>+F13+F14</f>
        <v>16713863</v>
      </c>
    </row>
    <row r="13" spans="1:6" ht="16.5">
      <c r="A13" s="133"/>
      <c r="B13" s="137" t="s">
        <v>97</v>
      </c>
      <c r="C13" s="19">
        <f>+'ardh nat'!C15</f>
        <v>36078285.147923075</v>
      </c>
      <c r="D13" s="19">
        <v>7189147</v>
      </c>
      <c r="E13" s="35">
        <f t="shared" si="0"/>
        <v>43267432.147923075</v>
      </c>
      <c r="F13" s="19">
        <v>14993332</v>
      </c>
    </row>
    <row r="14" spans="1:6" ht="16.5">
      <c r="A14" s="133"/>
      <c r="B14" s="138" t="s">
        <v>98</v>
      </c>
      <c r="C14" s="19">
        <f>+'ardh nat'!C16</f>
        <v>3807841.6715485379</v>
      </c>
      <c r="D14" s="19">
        <v>0</v>
      </c>
      <c r="E14" s="35">
        <f t="shared" si="0"/>
        <v>3807841.6715485379</v>
      </c>
      <c r="F14" s="19">
        <v>1720531</v>
      </c>
    </row>
    <row r="15" spans="1:6" ht="16.5">
      <c r="A15" s="133">
        <v>6</v>
      </c>
      <c r="B15" s="135" t="s">
        <v>99</v>
      </c>
      <c r="C15" s="19">
        <f>+'ardh nat'!C17</f>
        <v>21608631.240943331</v>
      </c>
      <c r="D15" s="19">
        <v>0</v>
      </c>
      <c r="E15" s="35">
        <f t="shared" si="0"/>
        <v>21608631.240943331</v>
      </c>
      <c r="F15" s="19">
        <v>11257083</v>
      </c>
    </row>
    <row r="16" spans="1:6" ht="16.5">
      <c r="A16" s="133">
        <v>7</v>
      </c>
      <c r="B16" s="135" t="s">
        <v>100</v>
      </c>
      <c r="C16" s="19">
        <f>+'ardh nat'!C18</f>
        <v>115315374.93003333</v>
      </c>
      <c r="D16" s="19">
        <v>6215084</v>
      </c>
      <c r="E16" s="35">
        <f t="shared" si="0"/>
        <v>121530458.93003333</v>
      </c>
      <c r="F16" s="19">
        <v>46397031</v>
      </c>
    </row>
    <row r="17" spans="1:6" ht="16.5">
      <c r="A17" s="139">
        <v>7.1</v>
      </c>
      <c r="B17" s="135" t="s">
        <v>101</v>
      </c>
      <c r="C17" s="19">
        <f>+'ardh nat'!C19</f>
        <v>61516358.9454</v>
      </c>
      <c r="D17" s="19"/>
      <c r="E17" s="35">
        <f t="shared" si="0"/>
        <v>61516358.9454</v>
      </c>
      <c r="F17" s="19">
        <v>19925031</v>
      </c>
    </row>
    <row r="18" spans="1:6" ht="16.5">
      <c r="A18" s="133">
        <v>8</v>
      </c>
      <c r="B18" s="42" t="s">
        <v>102</v>
      </c>
      <c r="C18" s="11">
        <f>C10+C12+C15+C16+C17+C11</f>
        <v>661833771.8385483</v>
      </c>
      <c r="D18" s="11">
        <f>D10+D12+D15+D16+D17+D11</f>
        <v>37900409</v>
      </c>
      <c r="E18" s="35">
        <f t="shared" si="0"/>
        <v>699734180.8385483</v>
      </c>
      <c r="F18" s="11">
        <f>F10+F12+F15+F16+F17+F11</f>
        <v>267429059</v>
      </c>
    </row>
    <row r="19" spans="1:6" ht="16.5">
      <c r="A19" s="133">
        <v>9</v>
      </c>
      <c r="B19" s="135" t="s">
        <v>103</v>
      </c>
      <c r="C19" s="11">
        <f>C6+C8+C9-C18+C7</f>
        <v>73587798.136551857</v>
      </c>
      <c r="D19" s="11">
        <f>D6+D8+D9-D18+D7</f>
        <v>39541383</v>
      </c>
      <c r="E19" s="35">
        <f t="shared" si="0"/>
        <v>113129181.13655186</v>
      </c>
      <c r="F19" s="11">
        <v>139073822</v>
      </c>
    </row>
    <row r="20" spans="1:6" ht="16.5">
      <c r="A20" s="133">
        <v>10</v>
      </c>
      <c r="B20" s="135" t="s">
        <v>104</v>
      </c>
      <c r="C20" s="19"/>
      <c r="D20" s="19"/>
      <c r="E20" s="35">
        <f t="shared" si="0"/>
        <v>0</v>
      </c>
      <c r="F20" s="19"/>
    </row>
    <row r="21" spans="1:6" ht="16.5">
      <c r="A21" s="133">
        <v>11</v>
      </c>
      <c r="B21" s="135" t="s">
        <v>105</v>
      </c>
      <c r="C21" s="19"/>
      <c r="D21" s="19"/>
      <c r="E21" s="35">
        <f t="shared" si="0"/>
        <v>0</v>
      </c>
      <c r="F21" s="19"/>
    </row>
    <row r="22" spans="1:6" ht="16.5">
      <c r="A22" s="133">
        <v>12</v>
      </c>
      <c r="B22" s="135" t="s">
        <v>106</v>
      </c>
      <c r="C22" s="11">
        <f>C24+C26+C25</f>
        <v>-13058231.226099998</v>
      </c>
      <c r="D22" s="11">
        <f>D24+D26+D25</f>
        <v>-34654</v>
      </c>
      <c r="E22" s="35">
        <f t="shared" si="0"/>
        <v>-13092885.226099998</v>
      </c>
      <c r="F22" s="11">
        <f>F23+F24+F25+F26</f>
        <v>8947345</v>
      </c>
    </row>
    <row r="23" spans="1:6" ht="16.5">
      <c r="A23" s="140"/>
      <c r="B23" s="137" t="s">
        <v>107</v>
      </c>
      <c r="C23" s="19"/>
      <c r="D23" s="19"/>
      <c r="E23" s="35">
        <f t="shared" si="0"/>
        <v>0</v>
      </c>
      <c r="F23" s="19"/>
    </row>
    <row r="24" spans="1:6" ht="16.5">
      <c r="A24" s="140"/>
      <c r="B24" s="137" t="s">
        <v>108</v>
      </c>
      <c r="C24" s="19">
        <f>+'ardh nat'!C26</f>
        <v>-13058231.226099998</v>
      </c>
      <c r="D24" s="19">
        <v>570</v>
      </c>
      <c r="E24" s="35">
        <f t="shared" si="0"/>
        <v>-13057661.226099998</v>
      </c>
      <c r="F24" s="19">
        <v>12341735</v>
      </c>
    </row>
    <row r="25" spans="1:6" ht="16.5">
      <c r="A25" s="140"/>
      <c r="B25" s="137" t="s">
        <v>109</v>
      </c>
      <c r="C25" s="19"/>
      <c r="D25" s="19">
        <v>-35224</v>
      </c>
      <c r="E25" s="35">
        <f t="shared" si="0"/>
        <v>-35224</v>
      </c>
      <c r="F25" s="19">
        <v>-3361170</v>
      </c>
    </row>
    <row r="26" spans="1:6" ht="16.5">
      <c r="A26" s="140"/>
      <c r="B26" s="137" t="s">
        <v>110</v>
      </c>
      <c r="C26" s="19"/>
      <c r="D26" s="19"/>
      <c r="E26" s="35">
        <f t="shared" si="0"/>
        <v>0</v>
      </c>
      <c r="F26" s="19">
        <v>-33220</v>
      </c>
    </row>
    <row r="27" spans="1:6">
      <c r="A27" s="140">
        <v>13</v>
      </c>
      <c r="B27" s="141" t="s">
        <v>111</v>
      </c>
      <c r="C27" s="11">
        <f>+C22</f>
        <v>-13058231.226099998</v>
      </c>
      <c r="D27" s="11">
        <f>+D22</f>
        <v>-34654</v>
      </c>
      <c r="E27" s="35">
        <f t="shared" si="0"/>
        <v>-13092885.226099998</v>
      </c>
      <c r="F27" s="11">
        <v>-15736124</v>
      </c>
    </row>
    <row r="28" spans="1:6">
      <c r="A28" s="140">
        <v>14</v>
      </c>
      <c r="B28" s="141" t="s">
        <v>112</v>
      </c>
      <c r="C28" s="11">
        <f>+C19+C27</f>
        <v>60529566.910451859</v>
      </c>
      <c r="D28" s="11">
        <f>+D19+D27</f>
        <v>39506729</v>
      </c>
      <c r="E28" s="35">
        <f t="shared" si="0"/>
        <v>100036295.91045186</v>
      </c>
      <c r="F28" s="11"/>
    </row>
    <row r="29" spans="1:6" ht="16.5">
      <c r="A29" s="133">
        <v>15</v>
      </c>
      <c r="B29" s="135" t="s">
        <v>113</v>
      </c>
      <c r="C29" s="19">
        <f>+'ardh nat'!C31</f>
        <v>12204592.585585186</v>
      </c>
      <c r="D29" s="19">
        <v>4078145</v>
      </c>
      <c r="E29" s="35">
        <f t="shared" si="0"/>
        <v>16282737.585585186</v>
      </c>
      <c r="F29" s="19">
        <v>14326273</v>
      </c>
    </row>
    <row r="30" spans="1:6" ht="16.5">
      <c r="A30" s="140">
        <v>16</v>
      </c>
      <c r="B30" s="136" t="s">
        <v>114</v>
      </c>
      <c r="C30" s="11">
        <f>+C28-C29</f>
        <v>48324974.324866675</v>
      </c>
      <c r="D30" s="11">
        <f>+D28-D29</f>
        <v>35428584</v>
      </c>
      <c r="E30" s="35">
        <f t="shared" si="0"/>
        <v>83753558.324866682</v>
      </c>
      <c r="F30" s="11">
        <v>109011425</v>
      </c>
    </row>
    <row r="31" spans="1:6" ht="16.5">
      <c r="A31" s="133">
        <v>17</v>
      </c>
      <c r="B31" s="135" t="s">
        <v>115</v>
      </c>
      <c r="C31" s="19"/>
      <c r="D31" s="19"/>
      <c r="E31" s="35">
        <f t="shared" si="0"/>
        <v>0</v>
      </c>
      <c r="F31" s="19"/>
    </row>
  </sheetData>
  <mergeCells count="4">
    <mergeCell ref="A1:F1"/>
    <mergeCell ref="A2:F2"/>
    <mergeCell ref="A3:A4"/>
    <mergeCell ref="B3:B4"/>
  </mergeCells>
  <pageMargins left="0.28000000000000003" right="0.7" top="0.54" bottom="0.51" header="0.3" footer="0.3"/>
  <pageSetup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8"/>
  <sheetViews>
    <sheetView topLeftCell="A7" workbookViewId="0">
      <selection activeCell="K35" sqref="K35"/>
    </sheetView>
  </sheetViews>
  <sheetFormatPr defaultColWidth="10.28515625" defaultRowHeight="12.75"/>
  <cols>
    <col min="1" max="1" width="5" style="100" customWidth="1"/>
    <col min="2" max="2" width="54" style="100" customWidth="1"/>
    <col min="3" max="3" width="17" style="145" customWidth="1"/>
    <col min="4" max="4" width="17.140625" style="145" customWidth="1"/>
    <col min="5" max="5" width="16.5703125" style="145" customWidth="1"/>
    <col min="6" max="6" width="15.42578125" style="145" customWidth="1"/>
    <col min="7" max="7" width="10.28515625" style="100"/>
    <col min="8" max="8" width="10.28515625" style="100" customWidth="1"/>
    <col min="9" max="9" width="10.42578125" style="100" bestFit="1" customWidth="1"/>
    <col min="10" max="256" width="10.28515625" style="100"/>
    <col min="257" max="257" width="5" style="100" customWidth="1"/>
    <col min="258" max="258" width="54" style="100" customWidth="1"/>
    <col min="259" max="259" width="17" style="100" customWidth="1"/>
    <col min="260" max="260" width="17.140625" style="100" customWidth="1"/>
    <col min="261" max="261" width="16.5703125" style="100" customWidth="1"/>
    <col min="262" max="262" width="15.42578125" style="100" customWidth="1"/>
    <col min="263" max="263" width="10.28515625" style="100"/>
    <col min="264" max="264" width="10.28515625" style="100" customWidth="1"/>
    <col min="265" max="512" width="10.28515625" style="100"/>
    <col min="513" max="513" width="5" style="100" customWidth="1"/>
    <col min="514" max="514" width="54" style="100" customWidth="1"/>
    <col min="515" max="515" width="17" style="100" customWidth="1"/>
    <col min="516" max="516" width="17.140625" style="100" customWidth="1"/>
    <col min="517" max="517" width="16.5703125" style="100" customWidth="1"/>
    <col min="518" max="518" width="15.42578125" style="100" customWidth="1"/>
    <col min="519" max="519" width="10.28515625" style="100"/>
    <col min="520" max="520" width="10.28515625" style="100" customWidth="1"/>
    <col min="521" max="768" width="10.28515625" style="100"/>
    <col min="769" max="769" width="5" style="100" customWidth="1"/>
    <col min="770" max="770" width="54" style="100" customWidth="1"/>
    <col min="771" max="771" width="17" style="100" customWidth="1"/>
    <col min="772" max="772" width="17.140625" style="100" customWidth="1"/>
    <col min="773" max="773" width="16.5703125" style="100" customWidth="1"/>
    <col min="774" max="774" width="15.42578125" style="100" customWidth="1"/>
    <col min="775" max="775" width="10.28515625" style="100"/>
    <col min="776" max="776" width="10.28515625" style="100" customWidth="1"/>
    <col min="777" max="1024" width="10.28515625" style="100"/>
    <col min="1025" max="1025" width="5" style="100" customWidth="1"/>
    <col min="1026" max="1026" width="54" style="100" customWidth="1"/>
    <col min="1027" max="1027" width="17" style="100" customWidth="1"/>
    <col min="1028" max="1028" width="17.140625" style="100" customWidth="1"/>
    <col min="1029" max="1029" width="16.5703125" style="100" customWidth="1"/>
    <col min="1030" max="1030" width="15.42578125" style="100" customWidth="1"/>
    <col min="1031" max="1031" width="10.28515625" style="100"/>
    <col min="1032" max="1032" width="10.28515625" style="100" customWidth="1"/>
    <col min="1033" max="1280" width="10.28515625" style="100"/>
    <col min="1281" max="1281" width="5" style="100" customWidth="1"/>
    <col min="1282" max="1282" width="54" style="100" customWidth="1"/>
    <col min="1283" max="1283" width="17" style="100" customWidth="1"/>
    <col min="1284" max="1284" width="17.140625" style="100" customWidth="1"/>
    <col min="1285" max="1285" width="16.5703125" style="100" customWidth="1"/>
    <col min="1286" max="1286" width="15.42578125" style="100" customWidth="1"/>
    <col min="1287" max="1287" width="10.28515625" style="100"/>
    <col min="1288" max="1288" width="10.28515625" style="100" customWidth="1"/>
    <col min="1289" max="1536" width="10.28515625" style="100"/>
    <col min="1537" max="1537" width="5" style="100" customWidth="1"/>
    <col min="1538" max="1538" width="54" style="100" customWidth="1"/>
    <col min="1539" max="1539" width="17" style="100" customWidth="1"/>
    <col min="1540" max="1540" width="17.140625" style="100" customWidth="1"/>
    <col min="1541" max="1541" width="16.5703125" style="100" customWidth="1"/>
    <col min="1542" max="1542" width="15.42578125" style="100" customWidth="1"/>
    <col min="1543" max="1543" width="10.28515625" style="100"/>
    <col min="1544" max="1544" width="10.28515625" style="100" customWidth="1"/>
    <col min="1545" max="1792" width="10.28515625" style="100"/>
    <col min="1793" max="1793" width="5" style="100" customWidth="1"/>
    <col min="1794" max="1794" width="54" style="100" customWidth="1"/>
    <col min="1795" max="1795" width="17" style="100" customWidth="1"/>
    <col min="1796" max="1796" width="17.140625" style="100" customWidth="1"/>
    <col min="1797" max="1797" width="16.5703125" style="100" customWidth="1"/>
    <col min="1798" max="1798" width="15.42578125" style="100" customWidth="1"/>
    <col min="1799" max="1799" width="10.28515625" style="100"/>
    <col min="1800" max="1800" width="10.28515625" style="100" customWidth="1"/>
    <col min="1801" max="2048" width="10.28515625" style="100"/>
    <col min="2049" max="2049" width="5" style="100" customWidth="1"/>
    <col min="2050" max="2050" width="54" style="100" customWidth="1"/>
    <col min="2051" max="2051" width="17" style="100" customWidth="1"/>
    <col min="2052" max="2052" width="17.140625" style="100" customWidth="1"/>
    <col min="2053" max="2053" width="16.5703125" style="100" customWidth="1"/>
    <col min="2054" max="2054" width="15.42578125" style="100" customWidth="1"/>
    <col min="2055" max="2055" width="10.28515625" style="100"/>
    <col min="2056" max="2056" width="10.28515625" style="100" customWidth="1"/>
    <col min="2057" max="2304" width="10.28515625" style="100"/>
    <col min="2305" max="2305" width="5" style="100" customWidth="1"/>
    <col min="2306" max="2306" width="54" style="100" customWidth="1"/>
    <col min="2307" max="2307" width="17" style="100" customWidth="1"/>
    <col min="2308" max="2308" width="17.140625" style="100" customWidth="1"/>
    <col min="2309" max="2309" width="16.5703125" style="100" customWidth="1"/>
    <col min="2310" max="2310" width="15.42578125" style="100" customWidth="1"/>
    <col min="2311" max="2311" width="10.28515625" style="100"/>
    <col min="2312" max="2312" width="10.28515625" style="100" customWidth="1"/>
    <col min="2313" max="2560" width="10.28515625" style="100"/>
    <col min="2561" max="2561" width="5" style="100" customWidth="1"/>
    <col min="2562" max="2562" width="54" style="100" customWidth="1"/>
    <col min="2563" max="2563" width="17" style="100" customWidth="1"/>
    <col min="2564" max="2564" width="17.140625" style="100" customWidth="1"/>
    <col min="2565" max="2565" width="16.5703125" style="100" customWidth="1"/>
    <col min="2566" max="2566" width="15.42578125" style="100" customWidth="1"/>
    <col min="2567" max="2567" width="10.28515625" style="100"/>
    <col min="2568" max="2568" width="10.28515625" style="100" customWidth="1"/>
    <col min="2569" max="2816" width="10.28515625" style="100"/>
    <col min="2817" max="2817" width="5" style="100" customWidth="1"/>
    <col min="2818" max="2818" width="54" style="100" customWidth="1"/>
    <col min="2819" max="2819" width="17" style="100" customWidth="1"/>
    <col min="2820" max="2820" width="17.140625" style="100" customWidth="1"/>
    <col min="2821" max="2821" width="16.5703125" style="100" customWidth="1"/>
    <col min="2822" max="2822" width="15.42578125" style="100" customWidth="1"/>
    <col min="2823" max="2823" width="10.28515625" style="100"/>
    <col min="2824" max="2824" width="10.28515625" style="100" customWidth="1"/>
    <col min="2825" max="3072" width="10.28515625" style="100"/>
    <col min="3073" max="3073" width="5" style="100" customWidth="1"/>
    <col min="3074" max="3074" width="54" style="100" customWidth="1"/>
    <col min="3075" max="3075" width="17" style="100" customWidth="1"/>
    <col min="3076" max="3076" width="17.140625" style="100" customWidth="1"/>
    <col min="3077" max="3077" width="16.5703125" style="100" customWidth="1"/>
    <col min="3078" max="3078" width="15.42578125" style="100" customWidth="1"/>
    <col min="3079" max="3079" width="10.28515625" style="100"/>
    <col min="3080" max="3080" width="10.28515625" style="100" customWidth="1"/>
    <col min="3081" max="3328" width="10.28515625" style="100"/>
    <col min="3329" max="3329" width="5" style="100" customWidth="1"/>
    <col min="3330" max="3330" width="54" style="100" customWidth="1"/>
    <col min="3331" max="3331" width="17" style="100" customWidth="1"/>
    <col min="3332" max="3332" width="17.140625" style="100" customWidth="1"/>
    <col min="3333" max="3333" width="16.5703125" style="100" customWidth="1"/>
    <col min="3334" max="3334" width="15.42578125" style="100" customWidth="1"/>
    <col min="3335" max="3335" width="10.28515625" style="100"/>
    <col min="3336" max="3336" width="10.28515625" style="100" customWidth="1"/>
    <col min="3337" max="3584" width="10.28515625" style="100"/>
    <col min="3585" max="3585" width="5" style="100" customWidth="1"/>
    <col min="3586" max="3586" width="54" style="100" customWidth="1"/>
    <col min="3587" max="3587" width="17" style="100" customWidth="1"/>
    <col min="3588" max="3588" width="17.140625" style="100" customWidth="1"/>
    <col min="3589" max="3589" width="16.5703125" style="100" customWidth="1"/>
    <col min="3590" max="3590" width="15.42578125" style="100" customWidth="1"/>
    <col min="3591" max="3591" width="10.28515625" style="100"/>
    <col min="3592" max="3592" width="10.28515625" style="100" customWidth="1"/>
    <col min="3593" max="3840" width="10.28515625" style="100"/>
    <col min="3841" max="3841" width="5" style="100" customWidth="1"/>
    <col min="3842" max="3842" width="54" style="100" customWidth="1"/>
    <col min="3843" max="3843" width="17" style="100" customWidth="1"/>
    <col min="3844" max="3844" width="17.140625" style="100" customWidth="1"/>
    <col min="3845" max="3845" width="16.5703125" style="100" customWidth="1"/>
    <col min="3846" max="3846" width="15.42578125" style="100" customWidth="1"/>
    <col min="3847" max="3847" width="10.28515625" style="100"/>
    <col min="3848" max="3848" width="10.28515625" style="100" customWidth="1"/>
    <col min="3849" max="4096" width="10.28515625" style="100"/>
    <col min="4097" max="4097" width="5" style="100" customWidth="1"/>
    <col min="4098" max="4098" width="54" style="100" customWidth="1"/>
    <col min="4099" max="4099" width="17" style="100" customWidth="1"/>
    <col min="4100" max="4100" width="17.140625" style="100" customWidth="1"/>
    <col min="4101" max="4101" width="16.5703125" style="100" customWidth="1"/>
    <col min="4102" max="4102" width="15.42578125" style="100" customWidth="1"/>
    <col min="4103" max="4103" width="10.28515625" style="100"/>
    <col min="4104" max="4104" width="10.28515625" style="100" customWidth="1"/>
    <col min="4105" max="4352" width="10.28515625" style="100"/>
    <col min="4353" max="4353" width="5" style="100" customWidth="1"/>
    <col min="4354" max="4354" width="54" style="100" customWidth="1"/>
    <col min="4355" max="4355" width="17" style="100" customWidth="1"/>
    <col min="4356" max="4356" width="17.140625" style="100" customWidth="1"/>
    <col min="4357" max="4357" width="16.5703125" style="100" customWidth="1"/>
    <col min="4358" max="4358" width="15.42578125" style="100" customWidth="1"/>
    <col min="4359" max="4359" width="10.28515625" style="100"/>
    <col min="4360" max="4360" width="10.28515625" style="100" customWidth="1"/>
    <col min="4361" max="4608" width="10.28515625" style="100"/>
    <col min="4609" max="4609" width="5" style="100" customWidth="1"/>
    <col min="4610" max="4610" width="54" style="100" customWidth="1"/>
    <col min="4611" max="4611" width="17" style="100" customWidth="1"/>
    <col min="4612" max="4612" width="17.140625" style="100" customWidth="1"/>
    <col min="4613" max="4613" width="16.5703125" style="100" customWidth="1"/>
    <col min="4614" max="4614" width="15.42578125" style="100" customWidth="1"/>
    <col min="4615" max="4615" width="10.28515625" style="100"/>
    <col min="4616" max="4616" width="10.28515625" style="100" customWidth="1"/>
    <col min="4617" max="4864" width="10.28515625" style="100"/>
    <col min="4865" max="4865" width="5" style="100" customWidth="1"/>
    <col min="4866" max="4866" width="54" style="100" customWidth="1"/>
    <col min="4867" max="4867" width="17" style="100" customWidth="1"/>
    <col min="4868" max="4868" width="17.140625" style="100" customWidth="1"/>
    <col min="4869" max="4869" width="16.5703125" style="100" customWidth="1"/>
    <col min="4870" max="4870" width="15.42578125" style="100" customWidth="1"/>
    <col min="4871" max="4871" width="10.28515625" style="100"/>
    <col min="4872" max="4872" width="10.28515625" style="100" customWidth="1"/>
    <col min="4873" max="5120" width="10.28515625" style="100"/>
    <col min="5121" max="5121" width="5" style="100" customWidth="1"/>
    <col min="5122" max="5122" width="54" style="100" customWidth="1"/>
    <col min="5123" max="5123" width="17" style="100" customWidth="1"/>
    <col min="5124" max="5124" width="17.140625" style="100" customWidth="1"/>
    <col min="5125" max="5125" width="16.5703125" style="100" customWidth="1"/>
    <col min="5126" max="5126" width="15.42578125" style="100" customWidth="1"/>
    <col min="5127" max="5127" width="10.28515625" style="100"/>
    <col min="5128" max="5128" width="10.28515625" style="100" customWidth="1"/>
    <col min="5129" max="5376" width="10.28515625" style="100"/>
    <col min="5377" max="5377" width="5" style="100" customWidth="1"/>
    <col min="5378" max="5378" width="54" style="100" customWidth="1"/>
    <col min="5379" max="5379" width="17" style="100" customWidth="1"/>
    <col min="5380" max="5380" width="17.140625" style="100" customWidth="1"/>
    <col min="5381" max="5381" width="16.5703125" style="100" customWidth="1"/>
    <col min="5382" max="5382" width="15.42578125" style="100" customWidth="1"/>
    <col min="5383" max="5383" width="10.28515625" style="100"/>
    <col min="5384" max="5384" width="10.28515625" style="100" customWidth="1"/>
    <col min="5385" max="5632" width="10.28515625" style="100"/>
    <col min="5633" max="5633" width="5" style="100" customWidth="1"/>
    <col min="5634" max="5634" width="54" style="100" customWidth="1"/>
    <col min="5635" max="5635" width="17" style="100" customWidth="1"/>
    <col min="5636" max="5636" width="17.140625" style="100" customWidth="1"/>
    <col min="5637" max="5637" width="16.5703125" style="100" customWidth="1"/>
    <col min="5638" max="5638" width="15.42578125" style="100" customWidth="1"/>
    <col min="5639" max="5639" width="10.28515625" style="100"/>
    <col min="5640" max="5640" width="10.28515625" style="100" customWidth="1"/>
    <col min="5641" max="5888" width="10.28515625" style="100"/>
    <col min="5889" max="5889" width="5" style="100" customWidth="1"/>
    <col min="5890" max="5890" width="54" style="100" customWidth="1"/>
    <col min="5891" max="5891" width="17" style="100" customWidth="1"/>
    <col min="5892" max="5892" width="17.140625" style="100" customWidth="1"/>
    <col min="5893" max="5893" width="16.5703125" style="100" customWidth="1"/>
    <col min="5894" max="5894" width="15.42578125" style="100" customWidth="1"/>
    <col min="5895" max="5895" width="10.28515625" style="100"/>
    <col min="5896" max="5896" width="10.28515625" style="100" customWidth="1"/>
    <col min="5897" max="6144" width="10.28515625" style="100"/>
    <col min="6145" max="6145" width="5" style="100" customWidth="1"/>
    <col min="6146" max="6146" width="54" style="100" customWidth="1"/>
    <col min="6147" max="6147" width="17" style="100" customWidth="1"/>
    <col min="6148" max="6148" width="17.140625" style="100" customWidth="1"/>
    <col min="6149" max="6149" width="16.5703125" style="100" customWidth="1"/>
    <col min="6150" max="6150" width="15.42578125" style="100" customWidth="1"/>
    <col min="6151" max="6151" width="10.28515625" style="100"/>
    <col min="6152" max="6152" width="10.28515625" style="100" customWidth="1"/>
    <col min="6153" max="6400" width="10.28515625" style="100"/>
    <col min="6401" max="6401" width="5" style="100" customWidth="1"/>
    <col min="6402" max="6402" width="54" style="100" customWidth="1"/>
    <col min="6403" max="6403" width="17" style="100" customWidth="1"/>
    <col min="6404" max="6404" width="17.140625" style="100" customWidth="1"/>
    <col min="6405" max="6405" width="16.5703125" style="100" customWidth="1"/>
    <col min="6406" max="6406" width="15.42578125" style="100" customWidth="1"/>
    <col min="6407" max="6407" width="10.28515625" style="100"/>
    <col min="6408" max="6408" width="10.28515625" style="100" customWidth="1"/>
    <col min="6409" max="6656" width="10.28515625" style="100"/>
    <col min="6657" max="6657" width="5" style="100" customWidth="1"/>
    <col min="6658" max="6658" width="54" style="100" customWidth="1"/>
    <col min="6659" max="6659" width="17" style="100" customWidth="1"/>
    <col min="6660" max="6660" width="17.140625" style="100" customWidth="1"/>
    <col min="6661" max="6661" width="16.5703125" style="100" customWidth="1"/>
    <col min="6662" max="6662" width="15.42578125" style="100" customWidth="1"/>
    <col min="6663" max="6663" width="10.28515625" style="100"/>
    <col min="6664" max="6664" width="10.28515625" style="100" customWidth="1"/>
    <col min="6665" max="6912" width="10.28515625" style="100"/>
    <col min="6913" max="6913" width="5" style="100" customWidth="1"/>
    <col min="6914" max="6914" width="54" style="100" customWidth="1"/>
    <col min="6915" max="6915" width="17" style="100" customWidth="1"/>
    <col min="6916" max="6916" width="17.140625" style="100" customWidth="1"/>
    <col min="6917" max="6917" width="16.5703125" style="100" customWidth="1"/>
    <col min="6918" max="6918" width="15.42578125" style="100" customWidth="1"/>
    <col min="6919" max="6919" width="10.28515625" style="100"/>
    <col min="6920" max="6920" width="10.28515625" style="100" customWidth="1"/>
    <col min="6921" max="7168" width="10.28515625" style="100"/>
    <col min="7169" max="7169" width="5" style="100" customWidth="1"/>
    <col min="7170" max="7170" width="54" style="100" customWidth="1"/>
    <col min="7171" max="7171" width="17" style="100" customWidth="1"/>
    <col min="7172" max="7172" width="17.140625" style="100" customWidth="1"/>
    <col min="7173" max="7173" width="16.5703125" style="100" customWidth="1"/>
    <col min="7174" max="7174" width="15.42578125" style="100" customWidth="1"/>
    <col min="7175" max="7175" width="10.28515625" style="100"/>
    <col min="7176" max="7176" width="10.28515625" style="100" customWidth="1"/>
    <col min="7177" max="7424" width="10.28515625" style="100"/>
    <col min="7425" max="7425" width="5" style="100" customWidth="1"/>
    <col min="7426" max="7426" width="54" style="100" customWidth="1"/>
    <col min="7427" max="7427" width="17" style="100" customWidth="1"/>
    <col min="7428" max="7428" width="17.140625" style="100" customWidth="1"/>
    <col min="7429" max="7429" width="16.5703125" style="100" customWidth="1"/>
    <col min="7430" max="7430" width="15.42578125" style="100" customWidth="1"/>
    <col min="7431" max="7431" width="10.28515625" style="100"/>
    <col min="7432" max="7432" width="10.28515625" style="100" customWidth="1"/>
    <col min="7433" max="7680" width="10.28515625" style="100"/>
    <col min="7681" max="7681" width="5" style="100" customWidth="1"/>
    <col min="7682" max="7682" width="54" style="100" customWidth="1"/>
    <col min="7683" max="7683" width="17" style="100" customWidth="1"/>
    <col min="7684" max="7684" width="17.140625" style="100" customWidth="1"/>
    <col min="7685" max="7685" width="16.5703125" style="100" customWidth="1"/>
    <col min="7686" max="7686" width="15.42578125" style="100" customWidth="1"/>
    <col min="7687" max="7687" width="10.28515625" style="100"/>
    <col min="7688" max="7688" width="10.28515625" style="100" customWidth="1"/>
    <col min="7689" max="7936" width="10.28515625" style="100"/>
    <col min="7937" max="7937" width="5" style="100" customWidth="1"/>
    <col min="7938" max="7938" width="54" style="100" customWidth="1"/>
    <col min="7939" max="7939" width="17" style="100" customWidth="1"/>
    <col min="7940" max="7940" width="17.140625" style="100" customWidth="1"/>
    <col min="7941" max="7941" width="16.5703125" style="100" customWidth="1"/>
    <col min="7942" max="7942" width="15.42578125" style="100" customWidth="1"/>
    <col min="7943" max="7943" width="10.28515625" style="100"/>
    <col min="7944" max="7944" width="10.28515625" style="100" customWidth="1"/>
    <col min="7945" max="8192" width="10.28515625" style="100"/>
    <col min="8193" max="8193" width="5" style="100" customWidth="1"/>
    <col min="8194" max="8194" width="54" style="100" customWidth="1"/>
    <col min="8195" max="8195" width="17" style="100" customWidth="1"/>
    <col min="8196" max="8196" width="17.140625" style="100" customWidth="1"/>
    <col min="8197" max="8197" width="16.5703125" style="100" customWidth="1"/>
    <col min="8198" max="8198" width="15.42578125" style="100" customWidth="1"/>
    <col min="8199" max="8199" width="10.28515625" style="100"/>
    <col min="8200" max="8200" width="10.28515625" style="100" customWidth="1"/>
    <col min="8201" max="8448" width="10.28515625" style="100"/>
    <col min="8449" max="8449" width="5" style="100" customWidth="1"/>
    <col min="8450" max="8450" width="54" style="100" customWidth="1"/>
    <col min="8451" max="8451" width="17" style="100" customWidth="1"/>
    <col min="8452" max="8452" width="17.140625" style="100" customWidth="1"/>
    <col min="8453" max="8453" width="16.5703125" style="100" customWidth="1"/>
    <col min="8454" max="8454" width="15.42578125" style="100" customWidth="1"/>
    <col min="8455" max="8455" width="10.28515625" style="100"/>
    <col min="8456" max="8456" width="10.28515625" style="100" customWidth="1"/>
    <col min="8457" max="8704" width="10.28515625" style="100"/>
    <col min="8705" max="8705" width="5" style="100" customWidth="1"/>
    <col min="8706" max="8706" width="54" style="100" customWidth="1"/>
    <col min="8707" max="8707" width="17" style="100" customWidth="1"/>
    <col min="8708" max="8708" width="17.140625" style="100" customWidth="1"/>
    <col min="8709" max="8709" width="16.5703125" style="100" customWidth="1"/>
    <col min="8710" max="8710" width="15.42578125" style="100" customWidth="1"/>
    <col min="8711" max="8711" width="10.28515625" style="100"/>
    <col min="8712" max="8712" width="10.28515625" style="100" customWidth="1"/>
    <col min="8713" max="8960" width="10.28515625" style="100"/>
    <col min="8961" max="8961" width="5" style="100" customWidth="1"/>
    <col min="8962" max="8962" width="54" style="100" customWidth="1"/>
    <col min="8963" max="8963" width="17" style="100" customWidth="1"/>
    <col min="8964" max="8964" width="17.140625" style="100" customWidth="1"/>
    <col min="8965" max="8965" width="16.5703125" style="100" customWidth="1"/>
    <col min="8966" max="8966" width="15.42578125" style="100" customWidth="1"/>
    <col min="8967" max="8967" width="10.28515625" style="100"/>
    <col min="8968" max="8968" width="10.28515625" style="100" customWidth="1"/>
    <col min="8969" max="9216" width="10.28515625" style="100"/>
    <col min="9217" max="9217" width="5" style="100" customWidth="1"/>
    <col min="9218" max="9218" width="54" style="100" customWidth="1"/>
    <col min="9219" max="9219" width="17" style="100" customWidth="1"/>
    <col min="9220" max="9220" width="17.140625" style="100" customWidth="1"/>
    <col min="9221" max="9221" width="16.5703125" style="100" customWidth="1"/>
    <col min="9222" max="9222" width="15.42578125" style="100" customWidth="1"/>
    <col min="9223" max="9223" width="10.28515625" style="100"/>
    <col min="9224" max="9224" width="10.28515625" style="100" customWidth="1"/>
    <col min="9225" max="9472" width="10.28515625" style="100"/>
    <col min="9473" max="9473" width="5" style="100" customWidth="1"/>
    <col min="9474" max="9474" width="54" style="100" customWidth="1"/>
    <col min="9475" max="9475" width="17" style="100" customWidth="1"/>
    <col min="9476" max="9476" width="17.140625" style="100" customWidth="1"/>
    <col min="9477" max="9477" width="16.5703125" style="100" customWidth="1"/>
    <col min="9478" max="9478" width="15.42578125" style="100" customWidth="1"/>
    <col min="9479" max="9479" width="10.28515625" style="100"/>
    <col min="9480" max="9480" width="10.28515625" style="100" customWidth="1"/>
    <col min="9481" max="9728" width="10.28515625" style="100"/>
    <col min="9729" max="9729" width="5" style="100" customWidth="1"/>
    <col min="9730" max="9730" width="54" style="100" customWidth="1"/>
    <col min="9731" max="9731" width="17" style="100" customWidth="1"/>
    <col min="9732" max="9732" width="17.140625" style="100" customWidth="1"/>
    <col min="9733" max="9733" width="16.5703125" style="100" customWidth="1"/>
    <col min="9734" max="9734" width="15.42578125" style="100" customWidth="1"/>
    <col min="9735" max="9735" width="10.28515625" style="100"/>
    <col min="9736" max="9736" width="10.28515625" style="100" customWidth="1"/>
    <col min="9737" max="9984" width="10.28515625" style="100"/>
    <col min="9985" max="9985" width="5" style="100" customWidth="1"/>
    <col min="9986" max="9986" width="54" style="100" customWidth="1"/>
    <col min="9987" max="9987" width="17" style="100" customWidth="1"/>
    <col min="9988" max="9988" width="17.140625" style="100" customWidth="1"/>
    <col min="9989" max="9989" width="16.5703125" style="100" customWidth="1"/>
    <col min="9990" max="9990" width="15.42578125" style="100" customWidth="1"/>
    <col min="9991" max="9991" width="10.28515625" style="100"/>
    <col min="9992" max="9992" width="10.28515625" style="100" customWidth="1"/>
    <col min="9993" max="10240" width="10.28515625" style="100"/>
    <col min="10241" max="10241" width="5" style="100" customWidth="1"/>
    <col min="10242" max="10242" width="54" style="100" customWidth="1"/>
    <col min="10243" max="10243" width="17" style="100" customWidth="1"/>
    <col min="10244" max="10244" width="17.140625" style="100" customWidth="1"/>
    <col min="10245" max="10245" width="16.5703125" style="100" customWidth="1"/>
    <col min="10246" max="10246" width="15.42578125" style="100" customWidth="1"/>
    <col min="10247" max="10247" width="10.28515625" style="100"/>
    <col min="10248" max="10248" width="10.28515625" style="100" customWidth="1"/>
    <col min="10249" max="10496" width="10.28515625" style="100"/>
    <col min="10497" max="10497" width="5" style="100" customWidth="1"/>
    <col min="10498" max="10498" width="54" style="100" customWidth="1"/>
    <col min="10499" max="10499" width="17" style="100" customWidth="1"/>
    <col min="10500" max="10500" width="17.140625" style="100" customWidth="1"/>
    <col min="10501" max="10501" width="16.5703125" style="100" customWidth="1"/>
    <col min="10502" max="10502" width="15.42578125" style="100" customWidth="1"/>
    <col min="10503" max="10503" width="10.28515625" style="100"/>
    <col min="10504" max="10504" width="10.28515625" style="100" customWidth="1"/>
    <col min="10505" max="10752" width="10.28515625" style="100"/>
    <col min="10753" max="10753" width="5" style="100" customWidth="1"/>
    <col min="10754" max="10754" width="54" style="100" customWidth="1"/>
    <col min="10755" max="10755" width="17" style="100" customWidth="1"/>
    <col min="10756" max="10756" width="17.140625" style="100" customWidth="1"/>
    <col min="10757" max="10757" width="16.5703125" style="100" customWidth="1"/>
    <col min="10758" max="10758" width="15.42578125" style="100" customWidth="1"/>
    <col min="10759" max="10759" width="10.28515625" style="100"/>
    <col min="10760" max="10760" width="10.28515625" style="100" customWidth="1"/>
    <col min="10761" max="11008" width="10.28515625" style="100"/>
    <col min="11009" max="11009" width="5" style="100" customWidth="1"/>
    <col min="11010" max="11010" width="54" style="100" customWidth="1"/>
    <col min="11011" max="11011" width="17" style="100" customWidth="1"/>
    <col min="11012" max="11012" width="17.140625" style="100" customWidth="1"/>
    <col min="11013" max="11013" width="16.5703125" style="100" customWidth="1"/>
    <col min="11014" max="11014" width="15.42578125" style="100" customWidth="1"/>
    <col min="11015" max="11015" width="10.28515625" style="100"/>
    <col min="11016" max="11016" width="10.28515625" style="100" customWidth="1"/>
    <col min="11017" max="11264" width="10.28515625" style="100"/>
    <col min="11265" max="11265" width="5" style="100" customWidth="1"/>
    <col min="11266" max="11266" width="54" style="100" customWidth="1"/>
    <col min="11267" max="11267" width="17" style="100" customWidth="1"/>
    <col min="11268" max="11268" width="17.140625" style="100" customWidth="1"/>
    <col min="11269" max="11269" width="16.5703125" style="100" customWidth="1"/>
    <col min="11270" max="11270" width="15.42578125" style="100" customWidth="1"/>
    <col min="11271" max="11271" width="10.28515625" style="100"/>
    <col min="11272" max="11272" width="10.28515625" style="100" customWidth="1"/>
    <col min="11273" max="11520" width="10.28515625" style="100"/>
    <col min="11521" max="11521" width="5" style="100" customWidth="1"/>
    <col min="11522" max="11522" width="54" style="100" customWidth="1"/>
    <col min="11523" max="11523" width="17" style="100" customWidth="1"/>
    <col min="11524" max="11524" width="17.140625" style="100" customWidth="1"/>
    <col min="11525" max="11525" width="16.5703125" style="100" customWidth="1"/>
    <col min="11526" max="11526" width="15.42578125" style="100" customWidth="1"/>
    <col min="11527" max="11527" width="10.28515625" style="100"/>
    <col min="11528" max="11528" width="10.28515625" style="100" customWidth="1"/>
    <col min="11529" max="11776" width="10.28515625" style="100"/>
    <col min="11777" max="11777" width="5" style="100" customWidth="1"/>
    <col min="11778" max="11778" width="54" style="100" customWidth="1"/>
    <col min="11779" max="11779" width="17" style="100" customWidth="1"/>
    <col min="11780" max="11780" width="17.140625" style="100" customWidth="1"/>
    <col min="11781" max="11781" width="16.5703125" style="100" customWidth="1"/>
    <col min="11782" max="11782" width="15.42578125" style="100" customWidth="1"/>
    <col min="11783" max="11783" width="10.28515625" style="100"/>
    <col min="11784" max="11784" width="10.28515625" style="100" customWidth="1"/>
    <col min="11785" max="12032" width="10.28515625" style="100"/>
    <col min="12033" max="12033" width="5" style="100" customWidth="1"/>
    <col min="12034" max="12034" width="54" style="100" customWidth="1"/>
    <col min="12035" max="12035" width="17" style="100" customWidth="1"/>
    <col min="12036" max="12036" width="17.140625" style="100" customWidth="1"/>
    <col min="12037" max="12037" width="16.5703125" style="100" customWidth="1"/>
    <col min="12038" max="12038" width="15.42578125" style="100" customWidth="1"/>
    <col min="12039" max="12039" width="10.28515625" style="100"/>
    <col min="12040" max="12040" width="10.28515625" style="100" customWidth="1"/>
    <col min="12041" max="12288" width="10.28515625" style="100"/>
    <col min="12289" max="12289" width="5" style="100" customWidth="1"/>
    <col min="12290" max="12290" width="54" style="100" customWidth="1"/>
    <col min="12291" max="12291" width="17" style="100" customWidth="1"/>
    <col min="12292" max="12292" width="17.140625" style="100" customWidth="1"/>
    <col min="12293" max="12293" width="16.5703125" style="100" customWidth="1"/>
    <col min="12294" max="12294" width="15.42578125" style="100" customWidth="1"/>
    <col min="12295" max="12295" width="10.28515625" style="100"/>
    <col min="12296" max="12296" width="10.28515625" style="100" customWidth="1"/>
    <col min="12297" max="12544" width="10.28515625" style="100"/>
    <col min="12545" max="12545" width="5" style="100" customWidth="1"/>
    <col min="12546" max="12546" width="54" style="100" customWidth="1"/>
    <col min="12547" max="12547" width="17" style="100" customWidth="1"/>
    <col min="12548" max="12548" width="17.140625" style="100" customWidth="1"/>
    <col min="12549" max="12549" width="16.5703125" style="100" customWidth="1"/>
    <col min="12550" max="12550" width="15.42578125" style="100" customWidth="1"/>
    <col min="12551" max="12551" width="10.28515625" style="100"/>
    <col min="12552" max="12552" width="10.28515625" style="100" customWidth="1"/>
    <col min="12553" max="12800" width="10.28515625" style="100"/>
    <col min="12801" max="12801" width="5" style="100" customWidth="1"/>
    <col min="12802" max="12802" width="54" style="100" customWidth="1"/>
    <col min="12803" max="12803" width="17" style="100" customWidth="1"/>
    <col min="12804" max="12804" width="17.140625" style="100" customWidth="1"/>
    <col min="12805" max="12805" width="16.5703125" style="100" customWidth="1"/>
    <col min="12806" max="12806" width="15.42578125" style="100" customWidth="1"/>
    <col min="12807" max="12807" width="10.28515625" style="100"/>
    <col min="12808" max="12808" width="10.28515625" style="100" customWidth="1"/>
    <col min="12809" max="13056" width="10.28515625" style="100"/>
    <col min="13057" max="13057" width="5" style="100" customWidth="1"/>
    <col min="13058" max="13058" width="54" style="100" customWidth="1"/>
    <col min="13059" max="13059" width="17" style="100" customWidth="1"/>
    <col min="13060" max="13060" width="17.140625" style="100" customWidth="1"/>
    <col min="13061" max="13061" width="16.5703125" style="100" customWidth="1"/>
    <col min="13062" max="13062" width="15.42578125" style="100" customWidth="1"/>
    <col min="13063" max="13063" width="10.28515625" style="100"/>
    <col min="13064" max="13064" width="10.28515625" style="100" customWidth="1"/>
    <col min="13065" max="13312" width="10.28515625" style="100"/>
    <col min="13313" max="13313" width="5" style="100" customWidth="1"/>
    <col min="13314" max="13314" width="54" style="100" customWidth="1"/>
    <col min="13315" max="13315" width="17" style="100" customWidth="1"/>
    <col min="13316" max="13316" width="17.140625" style="100" customWidth="1"/>
    <col min="13317" max="13317" width="16.5703125" style="100" customWidth="1"/>
    <col min="13318" max="13318" width="15.42578125" style="100" customWidth="1"/>
    <col min="13319" max="13319" width="10.28515625" style="100"/>
    <col min="13320" max="13320" width="10.28515625" style="100" customWidth="1"/>
    <col min="13321" max="13568" width="10.28515625" style="100"/>
    <col min="13569" max="13569" width="5" style="100" customWidth="1"/>
    <col min="13570" max="13570" width="54" style="100" customWidth="1"/>
    <col min="13571" max="13571" width="17" style="100" customWidth="1"/>
    <col min="13572" max="13572" width="17.140625" style="100" customWidth="1"/>
    <col min="13573" max="13573" width="16.5703125" style="100" customWidth="1"/>
    <col min="13574" max="13574" width="15.42578125" style="100" customWidth="1"/>
    <col min="13575" max="13575" width="10.28515625" style="100"/>
    <col min="13576" max="13576" width="10.28515625" style="100" customWidth="1"/>
    <col min="13577" max="13824" width="10.28515625" style="100"/>
    <col min="13825" max="13825" width="5" style="100" customWidth="1"/>
    <col min="13826" max="13826" width="54" style="100" customWidth="1"/>
    <col min="13827" max="13827" width="17" style="100" customWidth="1"/>
    <col min="13828" max="13828" width="17.140625" style="100" customWidth="1"/>
    <col min="13829" max="13829" width="16.5703125" style="100" customWidth="1"/>
    <col min="13830" max="13830" width="15.42578125" style="100" customWidth="1"/>
    <col min="13831" max="13831" width="10.28515625" style="100"/>
    <col min="13832" max="13832" width="10.28515625" style="100" customWidth="1"/>
    <col min="13833" max="14080" width="10.28515625" style="100"/>
    <col min="14081" max="14081" width="5" style="100" customWidth="1"/>
    <col min="14082" max="14082" width="54" style="100" customWidth="1"/>
    <col min="14083" max="14083" width="17" style="100" customWidth="1"/>
    <col min="14084" max="14084" width="17.140625" style="100" customWidth="1"/>
    <col min="14085" max="14085" width="16.5703125" style="100" customWidth="1"/>
    <col min="14086" max="14086" width="15.42578125" style="100" customWidth="1"/>
    <col min="14087" max="14087" width="10.28515625" style="100"/>
    <col min="14088" max="14088" width="10.28515625" style="100" customWidth="1"/>
    <col min="14089" max="14336" width="10.28515625" style="100"/>
    <col min="14337" max="14337" width="5" style="100" customWidth="1"/>
    <col min="14338" max="14338" width="54" style="100" customWidth="1"/>
    <col min="14339" max="14339" width="17" style="100" customWidth="1"/>
    <col min="14340" max="14340" width="17.140625" style="100" customWidth="1"/>
    <col min="14341" max="14341" width="16.5703125" style="100" customWidth="1"/>
    <col min="14342" max="14342" width="15.42578125" style="100" customWidth="1"/>
    <col min="14343" max="14343" width="10.28515625" style="100"/>
    <col min="14344" max="14344" width="10.28515625" style="100" customWidth="1"/>
    <col min="14345" max="14592" width="10.28515625" style="100"/>
    <col min="14593" max="14593" width="5" style="100" customWidth="1"/>
    <col min="14594" max="14594" width="54" style="100" customWidth="1"/>
    <col min="14595" max="14595" width="17" style="100" customWidth="1"/>
    <col min="14596" max="14596" width="17.140625" style="100" customWidth="1"/>
    <col min="14597" max="14597" width="16.5703125" style="100" customWidth="1"/>
    <col min="14598" max="14598" width="15.42578125" style="100" customWidth="1"/>
    <col min="14599" max="14599" width="10.28515625" style="100"/>
    <col min="14600" max="14600" width="10.28515625" style="100" customWidth="1"/>
    <col min="14601" max="14848" width="10.28515625" style="100"/>
    <col min="14849" max="14849" width="5" style="100" customWidth="1"/>
    <col min="14850" max="14850" width="54" style="100" customWidth="1"/>
    <col min="14851" max="14851" width="17" style="100" customWidth="1"/>
    <col min="14852" max="14852" width="17.140625" style="100" customWidth="1"/>
    <col min="14853" max="14853" width="16.5703125" style="100" customWidth="1"/>
    <col min="14854" max="14854" width="15.42578125" style="100" customWidth="1"/>
    <col min="14855" max="14855" width="10.28515625" style="100"/>
    <col min="14856" max="14856" width="10.28515625" style="100" customWidth="1"/>
    <col min="14857" max="15104" width="10.28515625" style="100"/>
    <col min="15105" max="15105" width="5" style="100" customWidth="1"/>
    <col min="15106" max="15106" width="54" style="100" customWidth="1"/>
    <col min="15107" max="15107" width="17" style="100" customWidth="1"/>
    <col min="15108" max="15108" width="17.140625" style="100" customWidth="1"/>
    <col min="15109" max="15109" width="16.5703125" style="100" customWidth="1"/>
    <col min="15110" max="15110" width="15.42578125" style="100" customWidth="1"/>
    <col min="15111" max="15111" width="10.28515625" style="100"/>
    <col min="15112" max="15112" width="10.28515625" style="100" customWidth="1"/>
    <col min="15113" max="15360" width="10.28515625" style="100"/>
    <col min="15361" max="15361" width="5" style="100" customWidth="1"/>
    <col min="15362" max="15362" width="54" style="100" customWidth="1"/>
    <col min="15363" max="15363" width="17" style="100" customWidth="1"/>
    <col min="15364" max="15364" width="17.140625" style="100" customWidth="1"/>
    <col min="15365" max="15365" width="16.5703125" style="100" customWidth="1"/>
    <col min="15366" max="15366" width="15.42578125" style="100" customWidth="1"/>
    <col min="15367" max="15367" width="10.28515625" style="100"/>
    <col min="15368" max="15368" width="10.28515625" style="100" customWidth="1"/>
    <col min="15369" max="15616" width="10.28515625" style="100"/>
    <col min="15617" max="15617" width="5" style="100" customWidth="1"/>
    <col min="15618" max="15618" width="54" style="100" customWidth="1"/>
    <col min="15619" max="15619" width="17" style="100" customWidth="1"/>
    <col min="15620" max="15620" width="17.140625" style="100" customWidth="1"/>
    <col min="15621" max="15621" width="16.5703125" style="100" customWidth="1"/>
    <col min="15622" max="15622" width="15.42578125" style="100" customWidth="1"/>
    <col min="15623" max="15623" width="10.28515625" style="100"/>
    <col min="15624" max="15624" width="10.28515625" style="100" customWidth="1"/>
    <col min="15625" max="15872" width="10.28515625" style="100"/>
    <col min="15873" max="15873" width="5" style="100" customWidth="1"/>
    <col min="15874" max="15874" width="54" style="100" customWidth="1"/>
    <col min="15875" max="15875" width="17" style="100" customWidth="1"/>
    <col min="15876" max="15876" width="17.140625" style="100" customWidth="1"/>
    <col min="15877" max="15877" width="16.5703125" style="100" customWidth="1"/>
    <col min="15878" max="15878" width="15.42578125" style="100" customWidth="1"/>
    <col min="15879" max="15879" width="10.28515625" style="100"/>
    <col min="15880" max="15880" width="10.28515625" style="100" customWidth="1"/>
    <col min="15881" max="16128" width="10.28515625" style="100"/>
    <col min="16129" max="16129" width="5" style="100" customWidth="1"/>
    <col min="16130" max="16130" width="54" style="100" customWidth="1"/>
    <col min="16131" max="16131" width="17" style="100" customWidth="1"/>
    <col min="16132" max="16132" width="17.140625" style="100" customWidth="1"/>
    <col min="16133" max="16133" width="16.5703125" style="100" customWidth="1"/>
    <col min="16134" max="16134" width="15.42578125" style="100" customWidth="1"/>
    <col min="16135" max="16135" width="10.28515625" style="100"/>
    <col min="16136" max="16136" width="10.28515625" style="100" customWidth="1"/>
    <col min="16137" max="16384" width="10.28515625" style="100"/>
  </cols>
  <sheetData>
    <row r="1" spans="1:8" s="142" customFormat="1" ht="18.75">
      <c r="B1" s="143" t="s">
        <v>1</v>
      </c>
      <c r="C1" s="144"/>
      <c r="D1" s="144"/>
      <c r="E1" s="144"/>
      <c r="F1" s="144"/>
    </row>
    <row r="2" spans="1:8" s="142" customFormat="1" ht="18.75">
      <c r="A2" s="421" t="s">
        <v>174</v>
      </c>
      <c r="B2" s="421"/>
      <c r="C2" s="421"/>
      <c r="D2" s="421"/>
      <c r="E2" s="421"/>
      <c r="F2" s="421"/>
    </row>
    <row r="3" spans="1:8" ht="13.5" thickBot="1"/>
    <row r="4" spans="1:8" ht="15">
      <c r="A4" s="408" t="s">
        <v>2</v>
      </c>
      <c r="B4" s="422" t="s">
        <v>149</v>
      </c>
      <c r="C4" s="146" t="s">
        <v>5</v>
      </c>
      <c r="D4" s="4" t="s">
        <v>5</v>
      </c>
      <c r="E4" s="4" t="s">
        <v>5</v>
      </c>
      <c r="F4" s="147" t="s">
        <v>5</v>
      </c>
    </row>
    <row r="5" spans="1:8" ht="15">
      <c r="A5" s="434"/>
      <c r="B5" s="435"/>
      <c r="C5" s="104" t="s">
        <v>6</v>
      </c>
      <c r="D5" s="103" t="s">
        <v>6</v>
      </c>
      <c r="E5" s="103" t="s">
        <v>6</v>
      </c>
      <c r="F5" s="148" t="s">
        <v>7</v>
      </c>
    </row>
    <row r="6" spans="1:8" ht="15">
      <c r="A6" s="409"/>
      <c r="B6" s="423"/>
      <c r="C6" s="106" t="s">
        <v>143</v>
      </c>
      <c r="D6" s="6" t="s">
        <v>140</v>
      </c>
      <c r="E6" s="6" t="s">
        <v>141</v>
      </c>
      <c r="F6" s="149"/>
    </row>
    <row r="7" spans="1:8" ht="15.75" customHeight="1">
      <c r="A7" s="150"/>
      <c r="B7" s="151" t="s">
        <v>150</v>
      </c>
      <c r="C7" s="35">
        <f>C8+C9+C10+C11+C12+C13+C14</f>
        <v>58615177.028420061</v>
      </c>
      <c r="D7" s="35">
        <f>D8+D9+D10+D11+D12+D13+D14</f>
        <v>-11297</v>
      </c>
      <c r="E7" s="35">
        <f>E8+E9+E10+E11+E12+E13+E14</f>
        <v>58603880.028420061</v>
      </c>
      <c r="F7" s="36">
        <f>F8+F9+F10+F11+F12+F13+F14</f>
        <v>26627991</v>
      </c>
    </row>
    <row r="8" spans="1:8" ht="15.75" customHeight="1">
      <c r="A8" s="150">
        <v>1</v>
      </c>
      <c r="B8" s="135" t="s">
        <v>151</v>
      </c>
      <c r="C8" s="19">
        <f>+fluk.m.d!C11</f>
        <v>794261097.25452006</v>
      </c>
      <c r="D8" s="110">
        <v>87473386</v>
      </c>
      <c r="E8" s="110">
        <f>SUM(C8:D8)</f>
        <v>881734483.25452006</v>
      </c>
      <c r="F8" s="16">
        <v>363886270</v>
      </c>
    </row>
    <row r="9" spans="1:8" ht="15.75" customHeight="1">
      <c r="A9" s="32">
        <v>2</v>
      </c>
      <c r="B9" s="136" t="s">
        <v>152</v>
      </c>
      <c r="C9" s="19">
        <f>+fluk.m.d!C12</f>
        <v>-703955295</v>
      </c>
      <c r="D9" s="110">
        <v>-82609847</v>
      </c>
      <c r="E9" s="110">
        <f t="shared" ref="E9:E14" si="0">SUM(C9:D9)</f>
        <v>-786565142</v>
      </c>
      <c r="F9" s="16">
        <v>-304651264</v>
      </c>
      <c r="H9" s="111"/>
    </row>
    <row r="10" spans="1:8" ht="15.75" customHeight="1">
      <c r="A10" s="32">
        <v>3</v>
      </c>
      <c r="B10" s="135" t="s">
        <v>153</v>
      </c>
      <c r="C10" s="19"/>
      <c r="D10" s="110"/>
      <c r="E10" s="110">
        <f t="shared" si="0"/>
        <v>0</v>
      </c>
      <c r="F10" s="16"/>
    </row>
    <row r="11" spans="1:8" ht="15.75" customHeight="1">
      <c r="A11" s="150">
        <v>4</v>
      </c>
      <c r="B11" s="135" t="s">
        <v>154</v>
      </c>
      <c r="C11" s="19"/>
      <c r="D11" s="110"/>
      <c r="E11" s="110">
        <f t="shared" si="0"/>
        <v>0</v>
      </c>
      <c r="F11" s="16"/>
    </row>
    <row r="12" spans="1:8" ht="15.75" customHeight="1">
      <c r="A12" s="150">
        <v>5</v>
      </c>
      <c r="B12" s="135" t="s">
        <v>155</v>
      </c>
      <c r="C12" s="19">
        <f>+fluk.m.d!C15</f>
        <v>-13058231.226099998</v>
      </c>
      <c r="D12" s="110">
        <v>0</v>
      </c>
      <c r="E12" s="110">
        <f t="shared" si="0"/>
        <v>-13058231.226099998</v>
      </c>
      <c r="F12" s="16">
        <v>-30390044</v>
      </c>
    </row>
    <row r="13" spans="1:8" ht="15.75" customHeight="1">
      <c r="A13" s="150">
        <v>6</v>
      </c>
      <c r="B13" s="135" t="s">
        <v>156</v>
      </c>
      <c r="C13" s="19">
        <f>+fluk.m.d!C16</f>
        <v>-18632394</v>
      </c>
      <c r="D13" s="110">
        <v>-4874836</v>
      </c>
      <c r="E13" s="110">
        <f t="shared" si="0"/>
        <v>-23507230</v>
      </c>
      <c r="F13" s="16">
        <v>-2216971</v>
      </c>
    </row>
    <row r="14" spans="1:8" ht="15.75" customHeight="1">
      <c r="A14" s="150">
        <v>7</v>
      </c>
      <c r="B14" s="152" t="s">
        <v>157</v>
      </c>
      <c r="C14" s="19"/>
      <c r="D14" s="110"/>
      <c r="E14" s="110">
        <f t="shared" si="0"/>
        <v>0</v>
      </c>
      <c r="F14" s="16"/>
    </row>
    <row r="15" spans="1:8" ht="15.75" customHeight="1">
      <c r="A15" s="150">
        <v>8</v>
      </c>
      <c r="B15" s="153" t="s">
        <v>158</v>
      </c>
      <c r="C15" s="11">
        <f>+C16+C17+C18+C19+C20+C21</f>
        <v>-39813437.524999999</v>
      </c>
      <c r="D15" s="11">
        <f>+D16+D17+D18+D19+D20+D21</f>
        <v>0</v>
      </c>
      <c r="E15" s="11">
        <f>+E16+E17+E18+E19+E20+E21</f>
        <v>-39813437.524999999</v>
      </c>
      <c r="F15" s="12">
        <f>+F16+F17+F18+F19+F20+F21</f>
        <v>-60310556</v>
      </c>
    </row>
    <row r="16" spans="1:8" ht="15.75" customHeight="1">
      <c r="A16" s="150">
        <v>9</v>
      </c>
      <c r="B16" s="135" t="s">
        <v>159</v>
      </c>
      <c r="C16" s="19"/>
      <c r="D16" s="110"/>
      <c r="E16" s="110">
        <f t="shared" ref="E16:E21" si="1">SUM(C16:D16)</f>
        <v>0</v>
      </c>
      <c r="F16" s="16"/>
    </row>
    <row r="17" spans="1:8" ht="15.75" customHeight="1">
      <c r="A17" s="150">
        <v>10</v>
      </c>
      <c r="B17" s="152" t="s">
        <v>160</v>
      </c>
      <c r="C17" s="19">
        <f>+fluk.m.d!C20</f>
        <v>-39813437.524999999</v>
      </c>
      <c r="D17" s="110"/>
      <c r="E17" s="110">
        <f t="shared" si="1"/>
        <v>-39813437.524999999</v>
      </c>
      <c r="F17" s="16">
        <v>-59775072</v>
      </c>
    </row>
    <row r="18" spans="1:8" ht="15.75" customHeight="1">
      <c r="A18" s="150">
        <v>11</v>
      </c>
      <c r="B18" s="135" t="s">
        <v>161</v>
      </c>
      <c r="C18" s="19">
        <f>+[2]amort.!C167</f>
        <v>0</v>
      </c>
      <c r="D18" s="110"/>
      <c r="E18" s="110">
        <f t="shared" si="1"/>
        <v>0</v>
      </c>
      <c r="F18" s="16"/>
    </row>
    <row r="19" spans="1:8" ht="15.75" customHeight="1">
      <c r="A19" s="150">
        <v>12</v>
      </c>
      <c r="B19" s="135" t="s">
        <v>162</v>
      </c>
      <c r="C19" s="19"/>
      <c r="D19" s="110"/>
      <c r="E19" s="110">
        <f t="shared" si="1"/>
        <v>0</v>
      </c>
      <c r="F19" s="16">
        <v>2125</v>
      </c>
    </row>
    <row r="20" spans="1:8" ht="15.75" customHeight="1">
      <c r="A20" s="150">
        <v>13</v>
      </c>
      <c r="B20" s="135" t="s">
        <v>163</v>
      </c>
      <c r="C20" s="19"/>
      <c r="D20" s="110"/>
      <c r="E20" s="110">
        <f t="shared" si="1"/>
        <v>0</v>
      </c>
      <c r="F20" s="16"/>
    </row>
    <row r="21" spans="1:8" ht="15.75" customHeight="1">
      <c r="A21" s="150">
        <v>14</v>
      </c>
      <c r="B21" s="137" t="s">
        <v>164</v>
      </c>
      <c r="C21" s="19"/>
      <c r="D21" s="110"/>
      <c r="E21" s="110">
        <f t="shared" si="1"/>
        <v>0</v>
      </c>
      <c r="F21" s="16">
        <v>-537609</v>
      </c>
    </row>
    <row r="22" spans="1:8" ht="15.75" customHeight="1">
      <c r="A22" s="150">
        <v>15</v>
      </c>
      <c r="B22" s="153" t="s">
        <v>165</v>
      </c>
      <c r="C22" s="11">
        <f>+C23+C24+C25+C26+C27</f>
        <v>-19113341.989999995</v>
      </c>
      <c r="D22" s="11">
        <f>+D23+D24+D25+D26+D27</f>
        <v>0</v>
      </c>
      <c r="E22" s="11">
        <f>+E23+E24+E25+E26+E27</f>
        <v>-19113341.989999995</v>
      </c>
      <c r="F22" s="12">
        <f>+F23+F24+F25+F26+F27</f>
        <v>-17346157</v>
      </c>
    </row>
    <row r="23" spans="1:8" ht="15.75" customHeight="1">
      <c r="A23" s="150">
        <v>16</v>
      </c>
      <c r="B23" s="152" t="s">
        <v>166</v>
      </c>
      <c r="C23" s="19"/>
      <c r="D23" s="110"/>
      <c r="E23" s="110">
        <f t="shared" ref="E23:E29" si="2">SUM(C23:D23)</f>
        <v>0</v>
      </c>
      <c r="F23" s="16"/>
    </row>
    <row r="24" spans="1:8" ht="15.75" customHeight="1">
      <c r="A24" s="150">
        <v>17</v>
      </c>
      <c r="B24" s="135" t="s">
        <v>167</v>
      </c>
      <c r="C24" s="19"/>
      <c r="D24" s="110"/>
      <c r="E24" s="110">
        <f t="shared" si="2"/>
        <v>0</v>
      </c>
      <c r="F24" s="16">
        <v>0</v>
      </c>
    </row>
    <row r="25" spans="1:8" ht="15.75" customHeight="1">
      <c r="A25" s="150">
        <v>18</v>
      </c>
      <c r="B25" s="135" t="s">
        <v>168</v>
      </c>
      <c r="C25" s="19">
        <f>+fluk.m.d!C28</f>
        <v>-19113341.989999995</v>
      </c>
      <c r="D25" s="110"/>
      <c r="E25" s="110">
        <f t="shared" si="2"/>
        <v>-19113341.989999995</v>
      </c>
      <c r="F25" s="16">
        <v>-17346157</v>
      </c>
    </row>
    <row r="26" spans="1:8" ht="15.75" customHeight="1">
      <c r="A26" s="150">
        <v>19</v>
      </c>
      <c r="B26" s="135" t="s">
        <v>169</v>
      </c>
      <c r="C26" s="19"/>
      <c r="D26" s="110"/>
      <c r="E26" s="110">
        <f t="shared" si="2"/>
        <v>0</v>
      </c>
      <c r="F26" s="16"/>
    </row>
    <row r="27" spans="1:8" ht="15.75" customHeight="1">
      <c r="A27" s="150">
        <v>20</v>
      </c>
      <c r="B27" s="137" t="s">
        <v>170</v>
      </c>
      <c r="C27" s="19"/>
      <c r="D27" s="110"/>
      <c r="E27" s="110">
        <f t="shared" si="2"/>
        <v>0</v>
      </c>
      <c r="F27" s="16"/>
      <c r="H27" s="111"/>
    </row>
    <row r="28" spans="1:8" ht="15.75" customHeight="1">
      <c r="A28" s="150">
        <v>21</v>
      </c>
      <c r="B28" s="154" t="s">
        <v>171</v>
      </c>
      <c r="C28" s="86">
        <f>+C30-C29</f>
        <v>-311602.76818013191</v>
      </c>
      <c r="D28" s="86">
        <f>+D30-D29</f>
        <v>-11297</v>
      </c>
      <c r="E28" s="86">
        <f t="shared" si="2"/>
        <v>-322899.76818013191</v>
      </c>
      <c r="F28" s="155">
        <f>+F30-F29</f>
        <v>1030864</v>
      </c>
    </row>
    <row r="29" spans="1:8" ht="15.75" customHeight="1">
      <c r="A29" s="150">
        <v>22</v>
      </c>
      <c r="B29" s="154" t="s">
        <v>172</v>
      </c>
      <c r="C29" s="81">
        <f>+fluk.m.d!C32</f>
        <v>2852406</v>
      </c>
      <c r="D29" s="156">
        <v>18399</v>
      </c>
      <c r="E29" s="156">
        <f t="shared" si="2"/>
        <v>2870805</v>
      </c>
      <c r="F29" s="157">
        <v>2852406</v>
      </c>
    </row>
    <row r="30" spans="1:8" ht="15.75" customHeight="1">
      <c r="A30" s="150">
        <v>23</v>
      </c>
      <c r="B30" s="154" t="s">
        <v>173</v>
      </c>
      <c r="C30" s="86">
        <f>+fluk.m.d!C33</f>
        <v>2540803.2318198681</v>
      </c>
      <c r="D30" s="86">
        <v>7102</v>
      </c>
      <c r="E30" s="86">
        <f>E29+E28</f>
        <v>2547905.2318198681</v>
      </c>
      <c r="F30" s="155">
        <v>3883270</v>
      </c>
    </row>
    <row r="31" spans="1:8" ht="24.75" customHeight="1" thickBot="1">
      <c r="A31" s="158"/>
      <c r="B31" s="159"/>
      <c r="C31" s="160"/>
      <c r="D31" s="161"/>
      <c r="E31" s="161"/>
      <c r="F31" s="162"/>
    </row>
    <row r="32" spans="1:8" ht="16.5">
      <c r="A32" s="2"/>
      <c r="B32" s="163"/>
      <c r="C32" s="82"/>
      <c r="D32" s="82"/>
      <c r="E32" s="82"/>
      <c r="F32" s="82"/>
    </row>
    <row r="33" spans="1:6" ht="16.5">
      <c r="A33" s="164"/>
      <c r="B33" s="163"/>
      <c r="C33" s="165"/>
      <c r="D33" s="165"/>
      <c r="E33" s="165"/>
      <c r="F33" s="82"/>
    </row>
    <row r="34" spans="1:6" ht="16.5">
      <c r="A34" s="127"/>
      <c r="B34" s="163"/>
      <c r="C34" s="163"/>
      <c r="D34" s="163"/>
      <c r="E34" s="163"/>
      <c r="F34" s="82"/>
    </row>
    <row r="35" spans="1:6" ht="16.5">
      <c r="A35" s="127"/>
      <c r="B35" s="166"/>
      <c r="C35" s="82"/>
      <c r="D35" s="82"/>
      <c r="E35" s="82"/>
      <c r="F35" s="82"/>
    </row>
    <row r="36" spans="1:6" ht="16.5">
      <c r="A36" s="127"/>
      <c r="B36" s="166"/>
      <c r="C36" s="82"/>
      <c r="D36" s="82"/>
      <c r="E36" s="82"/>
      <c r="F36" s="82"/>
    </row>
    <row r="37" spans="1:6" ht="16.5">
      <c r="A37" s="2"/>
      <c r="B37" s="166"/>
      <c r="C37" s="82"/>
      <c r="D37" s="82"/>
      <c r="E37" s="82"/>
      <c r="F37" s="82"/>
    </row>
    <row r="38" spans="1:6" ht="16.5">
      <c r="A38" s="127"/>
      <c r="B38" s="166"/>
      <c r="C38" s="82"/>
      <c r="D38" s="82"/>
      <c r="E38" s="82"/>
      <c r="F38" s="82"/>
    </row>
  </sheetData>
  <mergeCells count="3">
    <mergeCell ref="A2:F2"/>
    <mergeCell ref="A4:A6"/>
    <mergeCell ref="B4:B6"/>
  </mergeCells>
  <pageMargins left="0.43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33"/>
  <sheetViews>
    <sheetView topLeftCell="A7" workbookViewId="0">
      <selection activeCell="H31" sqref="H31"/>
    </sheetView>
  </sheetViews>
  <sheetFormatPr defaultRowHeight="12.75"/>
  <cols>
    <col min="1" max="1" width="38.140625" style="175" customWidth="1"/>
    <col min="2" max="5" width="12.7109375" style="175" customWidth="1"/>
    <col min="6" max="6" width="14" style="175" customWidth="1"/>
    <col min="7" max="7" width="12.7109375" style="175" customWidth="1"/>
    <col min="8" max="8" width="11.140625" style="175" customWidth="1"/>
    <col min="9" max="9" width="11.5703125" style="192" bestFit="1" customWidth="1"/>
    <col min="10" max="10" width="9.140625" style="175"/>
    <col min="11" max="11" width="13.5703125" style="192" bestFit="1" customWidth="1"/>
    <col min="12" max="256" width="9.140625" style="175"/>
    <col min="257" max="257" width="38.140625" style="175" customWidth="1"/>
    <col min="258" max="261" width="12.7109375" style="175" customWidth="1"/>
    <col min="262" max="262" width="14" style="175" customWidth="1"/>
    <col min="263" max="263" width="12.7109375" style="175" customWidth="1"/>
    <col min="264" max="264" width="11.140625" style="175" customWidth="1"/>
    <col min="265" max="512" width="9.140625" style="175"/>
    <col min="513" max="513" width="38.140625" style="175" customWidth="1"/>
    <col min="514" max="517" width="12.7109375" style="175" customWidth="1"/>
    <col min="518" max="518" width="14" style="175" customWidth="1"/>
    <col min="519" max="519" width="12.7109375" style="175" customWidth="1"/>
    <col min="520" max="520" width="11.140625" style="175" customWidth="1"/>
    <col min="521" max="768" width="9.140625" style="175"/>
    <col min="769" max="769" width="38.140625" style="175" customWidth="1"/>
    <col min="770" max="773" width="12.7109375" style="175" customWidth="1"/>
    <col min="774" max="774" width="14" style="175" customWidth="1"/>
    <col min="775" max="775" width="12.7109375" style="175" customWidth="1"/>
    <col min="776" max="776" width="11.140625" style="175" customWidth="1"/>
    <col min="777" max="1024" width="9.140625" style="175"/>
    <col min="1025" max="1025" width="38.140625" style="175" customWidth="1"/>
    <col min="1026" max="1029" width="12.7109375" style="175" customWidth="1"/>
    <col min="1030" max="1030" width="14" style="175" customWidth="1"/>
    <col min="1031" max="1031" width="12.7109375" style="175" customWidth="1"/>
    <col min="1032" max="1032" width="11.140625" style="175" customWidth="1"/>
    <col min="1033" max="1280" width="9.140625" style="175"/>
    <col min="1281" max="1281" width="38.140625" style="175" customWidth="1"/>
    <col min="1282" max="1285" width="12.7109375" style="175" customWidth="1"/>
    <col min="1286" max="1286" width="14" style="175" customWidth="1"/>
    <col min="1287" max="1287" width="12.7109375" style="175" customWidth="1"/>
    <col min="1288" max="1288" width="11.140625" style="175" customWidth="1"/>
    <col min="1289" max="1536" width="9.140625" style="175"/>
    <col min="1537" max="1537" width="38.140625" style="175" customWidth="1"/>
    <col min="1538" max="1541" width="12.7109375" style="175" customWidth="1"/>
    <col min="1542" max="1542" width="14" style="175" customWidth="1"/>
    <col min="1543" max="1543" width="12.7109375" style="175" customWidth="1"/>
    <col min="1544" max="1544" width="11.140625" style="175" customWidth="1"/>
    <col min="1545" max="1792" width="9.140625" style="175"/>
    <col min="1793" max="1793" width="38.140625" style="175" customWidth="1"/>
    <col min="1794" max="1797" width="12.7109375" style="175" customWidth="1"/>
    <col min="1798" max="1798" width="14" style="175" customWidth="1"/>
    <col min="1799" max="1799" width="12.7109375" style="175" customWidth="1"/>
    <col min="1800" max="1800" width="11.140625" style="175" customWidth="1"/>
    <col min="1801" max="2048" width="9.140625" style="175"/>
    <col min="2049" max="2049" width="38.140625" style="175" customWidth="1"/>
    <col min="2050" max="2053" width="12.7109375" style="175" customWidth="1"/>
    <col min="2054" max="2054" width="14" style="175" customWidth="1"/>
    <col min="2055" max="2055" width="12.7109375" style="175" customWidth="1"/>
    <col min="2056" max="2056" width="11.140625" style="175" customWidth="1"/>
    <col min="2057" max="2304" width="9.140625" style="175"/>
    <col min="2305" max="2305" width="38.140625" style="175" customWidth="1"/>
    <col min="2306" max="2309" width="12.7109375" style="175" customWidth="1"/>
    <col min="2310" max="2310" width="14" style="175" customWidth="1"/>
    <col min="2311" max="2311" width="12.7109375" style="175" customWidth="1"/>
    <col min="2312" max="2312" width="11.140625" style="175" customWidth="1"/>
    <col min="2313" max="2560" width="9.140625" style="175"/>
    <col min="2561" max="2561" width="38.140625" style="175" customWidth="1"/>
    <col min="2562" max="2565" width="12.7109375" style="175" customWidth="1"/>
    <col min="2566" max="2566" width="14" style="175" customWidth="1"/>
    <col min="2567" max="2567" width="12.7109375" style="175" customWidth="1"/>
    <col min="2568" max="2568" width="11.140625" style="175" customWidth="1"/>
    <col min="2569" max="2816" width="9.140625" style="175"/>
    <col min="2817" max="2817" width="38.140625" style="175" customWidth="1"/>
    <col min="2818" max="2821" width="12.7109375" style="175" customWidth="1"/>
    <col min="2822" max="2822" width="14" style="175" customWidth="1"/>
    <col min="2823" max="2823" width="12.7109375" style="175" customWidth="1"/>
    <col min="2824" max="2824" width="11.140625" style="175" customWidth="1"/>
    <col min="2825" max="3072" width="9.140625" style="175"/>
    <col min="3073" max="3073" width="38.140625" style="175" customWidth="1"/>
    <col min="3074" max="3077" width="12.7109375" style="175" customWidth="1"/>
    <col min="3078" max="3078" width="14" style="175" customWidth="1"/>
    <col min="3079" max="3079" width="12.7109375" style="175" customWidth="1"/>
    <col min="3080" max="3080" width="11.140625" style="175" customWidth="1"/>
    <col min="3081" max="3328" width="9.140625" style="175"/>
    <col min="3329" max="3329" width="38.140625" style="175" customWidth="1"/>
    <col min="3330" max="3333" width="12.7109375" style="175" customWidth="1"/>
    <col min="3334" max="3334" width="14" style="175" customWidth="1"/>
    <col min="3335" max="3335" width="12.7109375" style="175" customWidth="1"/>
    <col min="3336" max="3336" width="11.140625" style="175" customWidth="1"/>
    <col min="3337" max="3584" width="9.140625" style="175"/>
    <col min="3585" max="3585" width="38.140625" style="175" customWidth="1"/>
    <col min="3586" max="3589" width="12.7109375" style="175" customWidth="1"/>
    <col min="3590" max="3590" width="14" style="175" customWidth="1"/>
    <col min="3591" max="3591" width="12.7109375" style="175" customWidth="1"/>
    <col min="3592" max="3592" width="11.140625" style="175" customWidth="1"/>
    <col min="3593" max="3840" width="9.140625" style="175"/>
    <col min="3841" max="3841" width="38.140625" style="175" customWidth="1"/>
    <col min="3842" max="3845" width="12.7109375" style="175" customWidth="1"/>
    <col min="3846" max="3846" width="14" style="175" customWidth="1"/>
    <col min="3847" max="3847" width="12.7109375" style="175" customWidth="1"/>
    <col min="3848" max="3848" width="11.140625" style="175" customWidth="1"/>
    <col min="3849" max="4096" width="9.140625" style="175"/>
    <col min="4097" max="4097" width="38.140625" style="175" customWidth="1"/>
    <col min="4098" max="4101" width="12.7109375" style="175" customWidth="1"/>
    <col min="4102" max="4102" width="14" style="175" customWidth="1"/>
    <col min="4103" max="4103" width="12.7109375" style="175" customWidth="1"/>
    <col min="4104" max="4104" width="11.140625" style="175" customWidth="1"/>
    <col min="4105" max="4352" width="9.140625" style="175"/>
    <col min="4353" max="4353" width="38.140625" style="175" customWidth="1"/>
    <col min="4354" max="4357" width="12.7109375" style="175" customWidth="1"/>
    <col min="4358" max="4358" width="14" style="175" customWidth="1"/>
    <col min="4359" max="4359" width="12.7109375" style="175" customWidth="1"/>
    <col min="4360" max="4360" width="11.140625" style="175" customWidth="1"/>
    <col min="4361" max="4608" width="9.140625" style="175"/>
    <col min="4609" max="4609" width="38.140625" style="175" customWidth="1"/>
    <col min="4610" max="4613" width="12.7109375" style="175" customWidth="1"/>
    <col min="4614" max="4614" width="14" style="175" customWidth="1"/>
    <col min="4615" max="4615" width="12.7109375" style="175" customWidth="1"/>
    <col min="4616" max="4616" width="11.140625" style="175" customWidth="1"/>
    <col min="4617" max="4864" width="9.140625" style="175"/>
    <col min="4865" max="4865" width="38.140625" style="175" customWidth="1"/>
    <col min="4866" max="4869" width="12.7109375" style="175" customWidth="1"/>
    <col min="4870" max="4870" width="14" style="175" customWidth="1"/>
    <col min="4871" max="4871" width="12.7109375" style="175" customWidth="1"/>
    <col min="4872" max="4872" width="11.140625" style="175" customWidth="1"/>
    <col min="4873" max="5120" width="9.140625" style="175"/>
    <col min="5121" max="5121" width="38.140625" style="175" customWidth="1"/>
    <col min="5122" max="5125" width="12.7109375" style="175" customWidth="1"/>
    <col min="5126" max="5126" width="14" style="175" customWidth="1"/>
    <col min="5127" max="5127" width="12.7109375" style="175" customWidth="1"/>
    <col min="5128" max="5128" width="11.140625" style="175" customWidth="1"/>
    <col min="5129" max="5376" width="9.140625" style="175"/>
    <col min="5377" max="5377" width="38.140625" style="175" customWidth="1"/>
    <col min="5378" max="5381" width="12.7109375" style="175" customWidth="1"/>
    <col min="5382" max="5382" width="14" style="175" customWidth="1"/>
    <col min="5383" max="5383" width="12.7109375" style="175" customWidth="1"/>
    <col min="5384" max="5384" width="11.140625" style="175" customWidth="1"/>
    <col min="5385" max="5632" width="9.140625" style="175"/>
    <col min="5633" max="5633" width="38.140625" style="175" customWidth="1"/>
    <col min="5634" max="5637" width="12.7109375" style="175" customWidth="1"/>
    <col min="5638" max="5638" width="14" style="175" customWidth="1"/>
    <col min="5639" max="5639" width="12.7109375" style="175" customWidth="1"/>
    <col min="5640" max="5640" width="11.140625" style="175" customWidth="1"/>
    <col min="5641" max="5888" width="9.140625" style="175"/>
    <col min="5889" max="5889" width="38.140625" style="175" customWidth="1"/>
    <col min="5890" max="5893" width="12.7109375" style="175" customWidth="1"/>
    <col min="5894" max="5894" width="14" style="175" customWidth="1"/>
    <col min="5895" max="5895" width="12.7109375" style="175" customWidth="1"/>
    <col min="5896" max="5896" width="11.140625" style="175" customWidth="1"/>
    <col min="5897" max="6144" width="9.140625" style="175"/>
    <col min="6145" max="6145" width="38.140625" style="175" customWidth="1"/>
    <col min="6146" max="6149" width="12.7109375" style="175" customWidth="1"/>
    <col min="6150" max="6150" width="14" style="175" customWidth="1"/>
    <col min="6151" max="6151" width="12.7109375" style="175" customWidth="1"/>
    <col min="6152" max="6152" width="11.140625" style="175" customWidth="1"/>
    <col min="6153" max="6400" width="9.140625" style="175"/>
    <col min="6401" max="6401" width="38.140625" style="175" customWidth="1"/>
    <col min="6402" max="6405" width="12.7109375" style="175" customWidth="1"/>
    <col min="6406" max="6406" width="14" style="175" customWidth="1"/>
    <col min="6407" max="6407" width="12.7109375" style="175" customWidth="1"/>
    <col min="6408" max="6408" width="11.140625" style="175" customWidth="1"/>
    <col min="6409" max="6656" width="9.140625" style="175"/>
    <col min="6657" max="6657" width="38.140625" style="175" customWidth="1"/>
    <col min="6658" max="6661" width="12.7109375" style="175" customWidth="1"/>
    <col min="6662" max="6662" width="14" style="175" customWidth="1"/>
    <col min="6663" max="6663" width="12.7109375" style="175" customWidth="1"/>
    <col min="6664" max="6664" width="11.140625" style="175" customWidth="1"/>
    <col min="6665" max="6912" width="9.140625" style="175"/>
    <col min="6913" max="6913" width="38.140625" style="175" customWidth="1"/>
    <col min="6914" max="6917" width="12.7109375" style="175" customWidth="1"/>
    <col min="6918" max="6918" width="14" style="175" customWidth="1"/>
    <col min="6919" max="6919" width="12.7109375" style="175" customWidth="1"/>
    <col min="6920" max="6920" width="11.140625" style="175" customWidth="1"/>
    <col min="6921" max="7168" width="9.140625" style="175"/>
    <col min="7169" max="7169" width="38.140625" style="175" customWidth="1"/>
    <col min="7170" max="7173" width="12.7109375" style="175" customWidth="1"/>
    <col min="7174" max="7174" width="14" style="175" customWidth="1"/>
    <col min="7175" max="7175" width="12.7109375" style="175" customWidth="1"/>
    <col min="7176" max="7176" width="11.140625" style="175" customWidth="1"/>
    <col min="7177" max="7424" width="9.140625" style="175"/>
    <col min="7425" max="7425" width="38.140625" style="175" customWidth="1"/>
    <col min="7426" max="7429" width="12.7109375" style="175" customWidth="1"/>
    <col min="7430" max="7430" width="14" style="175" customWidth="1"/>
    <col min="7431" max="7431" width="12.7109375" style="175" customWidth="1"/>
    <col min="7432" max="7432" width="11.140625" style="175" customWidth="1"/>
    <col min="7433" max="7680" width="9.140625" style="175"/>
    <col min="7681" max="7681" width="38.140625" style="175" customWidth="1"/>
    <col min="7682" max="7685" width="12.7109375" style="175" customWidth="1"/>
    <col min="7686" max="7686" width="14" style="175" customWidth="1"/>
    <col min="7687" max="7687" width="12.7109375" style="175" customWidth="1"/>
    <col min="7688" max="7688" width="11.140625" style="175" customWidth="1"/>
    <col min="7689" max="7936" width="9.140625" style="175"/>
    <col min="7937" max="7937" width="38.140625" style="175" customWidth="1"/>
    <col min="7938" max="7941" width="12.7109375" style="175" customWidth="1"/>
    <col min="7942" max="7942" width="14" style="175" customWidth="1"/>
    <col min="7943" max="7943" width="12.7109375" style="175" customWidth="1"/>
    <col min="7944" max="7944" width="11.140625" style="175" customWidth="1"/>
    <col min="7945" max="8192" width="9.140625" style="175"/>
    <col min="8193" max="8193" width="38.140625" style="175" customWidth="1"/>
    <col min="8194" max="8197" width="12.7109375" style="175" customWidth="1"/>
    <col min="8198" max="8198" width="14" style="175" customWidth="1"/>
    <col min="8199" max="8199" width="12.7109375" style="175" customWidth="1"/>
    <col min="8200" max="8200" width="11.140625" style="175" customWidth="1"/>
    <col min="8201" max="8448" width="9.140625" style="175"/>
    <col min="8449" max="8449" width="38.140625" style="175" customWidth="1"/>
    <col min="8450" max="8453" width="12.7109375" style="175" customWidth="1"/>
    <col min="8454" max="8454" width="14" style="175" customWidth="1"/>
    <col min="8455" max="8455" width="12.7109375" style="175" customWidth="1"/>
    <col min="8456" max="8456" width="11.140625" style="175" customWidth="1"/>
    <col min="8457" max="8704" width="9.140625" style="175"/>
    <col min="8705" max="8705" width="38.140625" style="175" customWidth="1"/>
    <col min="8706" max="8709" width="12.7109375" style="175" customWidth="1"/>
    <col min="8710" max="8710" width="14" style="175" customWidth="1"/>
    <col min="8711" max="8711" width="12.7109375" style="175" customWidth="1"/>
    <col min="8712" max="8712" width="11.140625" style="175" customWidth="1"/>
    <col min="8713" max="8960" width="9.140625" style="175"/>
    <col min="8961" max="8961" width="38.140625" style="175" customWidth="1"/>
    <col min="8962" max="8965" width="12.7109375" style="175" customWidth="1"/>
    <col min="8966" max="8966" width="14" style="175" customWidth="1"/>
    <col min="8967" max="8967" width="12.7109375" style="175" customWidth="1"/>
    <col min="8968" max="8968" width="11.140625" style="175" customWidth="1"/>
    <col min="8969" max="9216" width="9.140625" style="175"/>
    <col min="9217" max="9217" width="38.140625" style="175" customWidth="1"/>
    <col min="9218" max="9221" width="12.7109375" style="175" customWidth="1"/>
    <col min="9222" max="9222" width="14" style="175" customWidth="1"/>
    <col min="9223" max="9223" width="12.7109375" style="175" customWidth="1"/>
    <col min="9224" max="9224" width="11.140625" style="175" customWidth="1"/>
    <col min="9225" max="9472" width="9.140625" style="175"/>
    <col min="9473" max="9473" width="38.140625" style="175" customWidth="1"/>
    <col min="9474" max="9477" width="12.7109375" style="175" customWidth="1"/>
    <col min="9478" max="9478" width="14" style="175" customWidth="1"/>
    <col min="9479" max="9479" width="12.7109375" style="175" customWidth="1"/>
    <col min="9480" max="9480" width="11.140625" style="175" customWidth="1"/>
    <col min="9481" max="9728" width="9.140625" style="175"/>
    <col min="9729" max="9729" width="38.140625" style="175" customWidth="1"/>
    <col min="9730" max="9733" width="12.7109375" style="175" customWidth="1"/>
    <col min="9734" max="9734" width="14" style="175" customWidth="1"/>
    <col min="9735" max="9735" width="12.7109375" style="175" customWidth="1"/>
    <col min="9736" max="9736" width="11.140625" style="175" customWidth="1"/>
    <col min="9737" max="9984" width="9.140625" style="175"/>
    <col min="9985" max="9985" width="38.140625" style="175" customWidth="1"/>
    <col min="9986" max="9989" width="12.7109375" style="175" customWidth="1"/>
    <col min="9990" max="9990" width="14" style="175" customWidth="1"/>
    <col min="9991" max="9991" width="12.7109375" style="175" customWidth="1"/>
    <col min="9992" max="9992" width="11.140625" style="175" customWidth="1"/>
    <col min="9993" max="10240" width="9.140625" style="175"/>
    <col min="10241" max="10241" width="38.140625" style="175" customWidth="1"/>
    <col min="10242" max="10245" width="12.7109375" style="175" customWidth="1"/>
    <col min="10246" max="10246" width="14" style="175" customWidth="1"/>
    <col min="10247" max="10247" width="12.7109375" style="175" customWidth="1"/>
    <col min="10248" max="10248" width="11.140625" style="175" customWidth="1"/>
    <col min="10249" max="10496" width="9.140625" style="175"/>
    <col min="10497" max="10497" width="38.140625" style="175" customWidth="1"/>
    <col min="10498" max="10501" width="12.7109375" style="175" customWidth="1"/>
    <col min="10502" max="10502" width="14" style="175" customWidth="1"/>
    <col min="10503" max="10503" width="12.7109375" style="175" customWidth="1"/>
    <col min="10504" max="10504" width="11.140625" style="175" customWidth="1"/>
    <col min="10505" max="10752" width="9.140625" style="175"/>
    <col min="10753" max="10753" width="38.140625" style="175" customWidth="1"/>
    <col min="10754" max="10757" width="12.7109375" style="175" customWidth="1"/>
    <col min="10758" max="10758" width="14" style="175" customWidth="1"/>
    <col min="10759" max="10759" width="12.7109375" style="175" customWidth="1"/>
    <col min="10760" max="10760" width="11.140625" style="175" customWidth="1"/>
    <col min="10761" max="11008" width="9.140625" style="175"/>
    <col min="11009" max="11009" width="38.140625" style="175" customWidth="1"/>
    <col min="11010" max="11013" width="12.7109375" style="175" customWidth="1"/>
    <col min="11014" max="11014" width="14" style="175" customWidth="1"/>
    <col min="11015" max="11015" width="12.7109375" style="175" customWidth="1"/>
    <col min="11016" max="11016" width="11.140625" style="175" customWidth="1"/>
    <col min="11017" max="11264" width="9.140625" style="175"/>
    <col min="11265" max="11265" width="38.140625" style="175" customWidth="1"/>
    <col min="11266" max="11269" width="12.7109375" style="175" customWidth="1"/>
    <col min="11270" max="11270" width="14" style="175" customWidth="1"/>
    <col min="11271" max="11271" width="12.7109375" style="175" customWidth="1"/>
    <col min="11272" max="11272" width="11.140625" style="175" customWidth="1"/>
    <col min="11273" max="11520" width="9.140625" style="175"/>
    <col min="11521" max="11521" width="38.140625" style="175" customWidth="1"/>
    <col min="11522" max="11525" width="12.7109375" style="175" customWidth="1"/>
    <col min="11526" max="11526" width="14" style="175" customWidth="1"/>
    <col min="11527" max="11527" width="12.7109375" style="175" customWidth="1"/>
    <col min="11528" max="11528" width="11.140625" style="175" customWidth="1"/>
    <col min="11529" max="11776" width="9.140625" style="175"/>
    <col min="11777" max="11777" width="38.140625" style="175" customWidth="1"/>
    <col min="11778" max="11781" width="12.7109375" style="175" customWidth="1"/>
    <col min="11782" max="11782" width="14" style="175" customWidth="1"/>
    <col min="11783" max="11783" width="12.7109375" style="175" customWidth="1"/>
    <col min="11784" max="11784" width="11.140625" style="175" customWidth="1"/>
    <col min="11785" max="12032" width="9.140625" style="175"/>
    <col min="12033" max="12033" width="38.140625" style="175" customWidth="1"/>
    <col min="12034" max="12037" width="12.7109375" style="175" customWidth="1"/>
    <col min="12038" max="12038" width="14" style="175" customWidth="1"/>
    <col min="12039" max="12039" width="12.7109375" style="175" customWidth="1"/>
    <col min="12040" max="12040" width="11.140625" style="175" customWidth="1"/>
    <col min="12041" max="12288" width="9.140625" style="175"/>
    <col min="12289" max="12289" width="38.140625" style="175" customWidth="1"/>
    <col min="12290" max="12293" width="12.7109375" style="175" customWidth="1"/>
    <col min="12294" max="12294" width="14" style="175" customWidth="1"/>
    <col min="12295" max="12295" width="12.7109375" style="175" customWidth="1"/>
    <col min="12296" max="12296" width="11.140625" style="175" customWidth="1"/>
    <col min="12297" max="12544" width="9.140625" style="175"/>
    <col min="12545" max="12545" width="38.140625" style="175" customWidth="1"/>
    <col min="12546" max="12549" width="12.7109375" style="175" customWidth="1"/>
    <col min="12550" max="12550" width="14" style="175" customWidth="1"/>
    <col min="12551" max="12551" width="12.7109375" style="175" customWidth="1"/>
    <col min="12552" max="12552" width="11.140625" style="175" customWidth="1"/>
    <col min="12553" max="12800" width="9.140625" style="175"/>
    <col min="12801" max="12801" width="38.140625" style="175" customWidth="1"/>
    <col min="12802" max="12805" width="12.7109375" style="175" customWidth="1"/>
    <col min="12806" max="12806" width="14" style="175" customWidth="1"/>
    <col min="12807" max="12807" width="12.7109375" style="175" customWidth="1"/>
    <col min="12808" max="12808" width="11.140625" style="175" customWidth="1"/>
    <col min="12809" max="13056" width="9.140625" style="175"/>
    <col min="13057" max="13057" width="38.140625" style="175" customWidth="1"/>
    <col min="13058" max="13061" width="12.7109375" style="175" customWidth="1"/>
    <col min="13062" max="13062" width="14" style="175" customWidth="1"/>
    <col min="13063" max="13063" width="12.7109375" style="175" customWidth="1"/>
    <col min="13064" max="13064" width="11.140625" style="175" customWidth="1"/>
    <col min="13065" max="13312" width="9.140625" style="175"/>
    <col min="13313" max="13313" width="38.140625" style="175" customWidth="1"/>
    <col min="13314" max="13317" width="12.7109375" style="175" customWidth="1"/>
    <col min="13318" max="13318" width="14" style="175" customWidth="1"/>
    <col min="13319" max="13319" width="12.7109375" style="175" customWidth="1"/>
    <col min="13320" max="13320" width="11.140625" style="175" customWidth="1"/>
    <col min="13321" max="13568" width="9.140625" style="175"/>
    <col min="13569" max="13569" width="38.140625" style="175" customWidth="1"/>
    <col min="13570" max="13573" width="12.7109375" style="175" customWidth="1"/>
    <col min="13574" max="13574" width="14" style="175" customWidth="1"/>
    <col min="13575" max="13575" width="12.7109375" style="175" customWidth="1"/>
    <col min="13576" max="13576" width="11.140625" style="175" customWidth="1"/>
    <col min="13577" max="13824" width="9.140625" style="175"/>
    <col min="13825" max="13825" width="38.140625" style="175" customWidth="1"/>
    <col min="13826" max="13829" width="12.7109375" style="175" customWidth="1"/>
    <col min="13830" max="13830" width="14" style="175" customWidth="1"/>
    <col min="13831" max="13831" width="12.7109375" style="175" customWidth="1"/>
    <col min="13832" max="13832" width="11.140625" style="175" customWidth="1"/>
    <col min="13833" max="14080" width="9.140625" style="175"/>
    <col min="14081" max="14081" width="38.140625" style="175" customWidth="1"/>
    <col min="14082" max="14085" width="12.7109375" style="175" customWidth="1"/>
    <col min="14086" max="14086" width="14" style="175" customWidth="1"/>
    <col min="14087" max="14087" width="12.7109375" style="175" customWidth="1"/>
    <col min="14088" max="14088" width="11.140625" style="175" customWidth="1"/>
    <col min="14089" max="14336" width="9.140625" style="175"/>
    <col min="14337" max="14337" width="38.140625" style="175" customWidth="1"/>
    <col min="14338" max="14341" width="12.7109375" style="175" customWidth="1"/>
    <col min="14342" max="14342" width="14" style="175" customWidth="1"/>
    <col min="14343" max="14343" width="12.7109375" style="175" customWidth="1"/>
    <col min="14344" max="14344" width="11.140625" style="175" customWidth="1"/>
    <col min="14345" max="14592" width="9.140625" style="175"/>
    <col min="14593" max="14593" width="38.140625" style="175" customWidth="1"/>
    <col min="14594" max="14597" width="12.7109375" style="175" customWidth="1"/>
    <col min="14598" max="14598" width="14" style="175" customWidth="1"/>
    <col min="14599" max="14599" width="12.7109375" style="175" customWidth="1"/>
    <col min="14600" max="14600" width="11.140625" style="175" customWidth="1"/>
    <col min="14601" max="14848" width="9.140625" style="175"/>
    <col min="14849" max="14849" width="38.140625" style="175" customWidth="1"/>
    <col min="14850" max="14853" width="12.7109375" style="175" customWidth="1"/>
    <col min="14854" max="14854" width="14" style="175" customWidth="1"/>
    <col min="14855" max="14855" width="12.7109375" style="175" customWidth="1"/>
    <col min="14856" max="14856" width="11.140625" style="175" customWidth="1"/>
    <col min="14857" max="15104" width="9.140625" style="175"/>
    <col min="15105" max="15105" width="38.140625" style="175" customWidth="1"/>
    <col min="15106" max="15109" width="12.7109375" style="175" customWidth="1"/>
    <col min="15110" max="15110" width="14" style="175" customWidth="1"/>
    <col min="15111" max="15111" width="12.7109375" style="175" customWidth="1"/>
    <col min="15112" max="15112" width="11.140625" style="175" customWidth="1"/>
    <col min="15113" max="15360" width="9.140625" style="175"/>
    <col min="15361" max="15361" width="38.140625" style="175" customWidth="1"/>
    <col min="15362" max="15365" width="12.7109375" style="175" customWidth="1"/>
    <col min="15366" max="15366" width="14" style="175" customWidth="1"/>
    <col min="15367" max="15367" width="12.7109375" style="175" customWidth="1"/>
    <col min="15368" max="15368" width="11.140625" style="175" customWidth="1"/>
    <col min="15369" max="15616" width="9.140625" style="175"/>
    <col min="15617" max="15617" width="38.140625" style="175" customWidth="1"/>
    <col min="15618" max="15621" width="12.7109375" style="175" customWidth="1"/>
    <col min="15622" max="15622" width="14" style="175" customWidth="1"/>
    <col min="15623" max="15623" width="12.7109375" style="175" customWidth="1"/>
    <col min="15624" max="15624" width="11.140625" style="175" customWidth="1"/>
    <col min="15625" max="15872" width="9.140625" style="175"/>
    <col min="15873" max="15873" width="38.140625" style="175" customWidth="1"/>
    <col min="15874" max="15877" width="12.7109375" style="175" customWidth="1"/>
    <col min="15878" max="15878" width="14" style="175" customWidth="1"/>
    <col min="15879" max="15879" width="12.7109375" style="175" customWidth="1"/>
    <col min="15880" max="15880" width="11.140625" style="175" customWidth="1"/>
    <col min="15881" max="16128" width="9.140625" style="175"/>
    <col min="16129" max="16129" width="38.140625" style="175" customWidth="1"/>
    <col min="16130" max="16133" width="12.7109375" style="175" customWidth="1"/>
    <col min="16134" max="16134" width="14" style="175" customWidth="1"/>
    <col min="16135" max="16135" width="12.7109375" style="175" customWidth="1"/>
    <col min="16136" max="16136" width="11.140625" style="175" customWidth="1"/>
    <col min="16137" max="16384" width="9.140625" style="175"/>
  </cols>
  <sheetData>
    <row r="1" spans="1:11">
      <c r="A1" s="174" t="str">
        <f>'[7]PASH 2012'!A1</f>
        <v xml:space="preserve"> GARDEN LINE SHPK - DEGA NE KOSOVE</v>
      </c>
    </row>
    <row r="4" spans="1:11">
      <c r="A4" s="436" t="s">
        <v>176</v>
      </c>
      <c r="B4" s="436"/>
      <c r="C4" s="436"/>
      <c r="D4" s="436"/>
      <c r="E4" s="436"/>
      <c r="F4" s="436"/>
      <c r="G4" s="436"/>
    </row>
    <row r="5" spans="1:11">
      <c r="A5" s="176"/>
      <c r="B5" s="176"/>
      <c r="C5" s="176"/>
      <c r="D5" s="176"/>
      <c r="E5" s="176"/>
      <c r="F5" s="176"/>
      <c r="G5" s="176"/>
    </row>
    <row r="6" spans="1:11">
      <c r="A6" s="437" t="s">
        <v>177</v>
      </c>
      <c r="B6" s="437"/>
      <c r="C6" s="437"/>
      <c r="D6" s="437"/>
      <c r="E6" s="437"/>
      <c r="F6" s="437"/>
      <c r="G6" s="437"/>
    </row>
    <row r="7" spans="1:11">
      <c r="A7" s="177"/>
      <c r="B7" s="177"/>
      <c r="C7" s="177"/>
      <c r="D7" s="177"/>
      <c r="E7" s="177"/>
      <c r="F7" s="177"/>
      <c r="G7" s="177"/>
    </row>
    <row r="8" spans="1:11">
      <c r="A8" s="177"/>
      <c r="B8" s="177"/>
      <c r="C8" s="177"/>
      <c r="D8" s="177"/>
      <c r="E8" s="177"/>
      <c r="F8" s="177"/>
      <c r="G8" s="177"/>
    </row>
    <row r="9" spans="1:11">
      <c r="A9" s="177"/>
      <c r="B9" s="177"/>
      <c r="C9" s="177"/>
      <c r="D9" s="177"/>
      <c r="E9" s="177"/>
      <c r="F9" s="178"/>
      <c r="G9" s="178" t="s">
        <v>178</v>
      </c>
      <c r="I9" s="192" t="s">
        <v>10</v>
      </c>
      <c r="K9" s="192" t="s">
        <v>10</v>
      </c>
    </row>
    <row r="10" spans="1:11" ht="6" customHeight="1">
      <c r="A10" s="438"/>
      <c r="B10" s="438"/>
      <c r="C10" s="438"/>
      <c r="D10" s="438"/>
      <c r="E10" s="438"/>
      <c r="F10" s="438"/>
      <c r="G10" s="438"/>
    </row>
    <row r="11" spans="1:11" ht="36" customHeight="1">
      <c r="B11" s="179" t="s">
        <v>119</v>
      </c>
      <c r="C11" s="179" t="s">
        <v>179</v>
      </c>
      <c r="D11" s="179" t="s">
        <v>180</v>
      </c>
      <c r="E11" s="179" t="s">
        <v>181</v>
      </c>
      <c r="F11" s="179" t="s">
        <v>182</v>
      </c>
      <c r="G11" s="180" t="s">
        <v>183</v>
      </c>
    </row>
    <row r="12" spans="1:11" ht="12" customHeight="1">
      <c r="B12" s="179"/>
      <c r="C12" s="179"/>
      <c r="D12" s="179"/>
      <c r="E12" s="179"/>
      <c r="F12" s="179"/>
      <c r="G12" s="180"/>
    </row>
    <row r="13" spans="1:11" ht="18" hidden="1" customHeight="1">
      <c r="A13" s="181" t="s">
        <v>184</v>
      </c>
      <c r="G13" s="181"/>
    </row>
    <row r="14" spans="1:11" ht="18" hidden="1" customHeight="1">
      <c r="A14" s="175" t="s">
        <v>185</v>
      </c>
      <c r="G14" s="181"/>
    </row>
    <row r="15" spans="1:11" ht="18" hidden="1" customHeight="1">
      <c r="A15" s="181" t="s">
        <v>186</v>
      </c>
      <c r="B15" s="182"/>
      <c r="C15" s="182"/>
      <c r="D15" s="182"/>
      <c r="E15" s="182"/>
      <c r="F15" s="182"/>
      <c r="G15" s="183"/>
    </row>
    <row r="16" spans="1:11" ht="18" hidden="1" customHeight="1">
      <c r="A16" s="175" t="s">
        <v>133</v>
      </c>
      <c r="G16" s="181"/>
    </row>
    <row r="17" spans="1:11" ht="18" hidden="1" customHeight="1">
      <c r="A17" s="175" t="s">
        <v>187</v>
      </c>
      <c r="G17" s="181"/>
    </row>
    <row r="18" spans="1:11" ht="18" hidden="1" customHeight="1">
      <c r="A18" s="175" t="s">
        <v>188</v>
      </c>
      <c r="G18" s="181"/>
    </row>
    <row r="19" spans="1:11" ht="18" hidden="1" customHeight="1">
      <c r="A19" s="175" t="s">
        <v>189</v>
      </c>
      <c r="G19" s="181"/>
    </row>
    <row r="20" spans="1:11" ht="18" customHeight="1">
      <c r="A20" s="181" t="s">
        <v>190</v>
      </c>
      <c r="B20" s="184"/>
      <c r="C20" s="184"/>
      <c r="D20" s="184"/>
      <c r="E20" s="184"/>
      <c r="F20" s="185">
        <v>-3869.64</v>
      </c>
      <c r="G20" s="186">
        <f>[8]PASH!G38</f>
        <v>-3869.6399999999985</v>
      </c>
      <c r="H20" s="187">
        <f>G20-[8]BGJ!H105</f>
        <v>0</v>
      </c>
      <c r="I20" s="192">
        <f>+F20*140</f>
        <v>-541749.6</v>
      </c>
      <c r="K20" s="192">
        <f>+G20*138.93</f>
        <v>-537609.08519999986</v>
      </c>
    </row>
    <row r="21" spans="1:11" ht="6" customHeight="1">
      <c r="B21" s="187"/>
      <c r="C21" s="187"/>
      <c r="D21" s="187"/>
      <c r="E21" s="187"/>
      <c r="F21" s="187"/>
      <c r="G21" s="188"/>
      <c r="H21" s="187"/>
      <c r="I21" s="192">
        <f t="shared" ref="I21:I32" si="0">+F21*140</f>
        <v>0</v>
      </c>
      <c r="K21" s="192">
        <f t="shared" ref="K21:K32" si="1">+G21*138.93</f>
        <v>0</v>
      </c>
    </row>
    <row r="22" spans="1:11" ht="18" customHeight="1">
      <c r="A22" s="175" t="s">
        <v>191</v>
      </c>
      <c r="B22" s="187"/>
      <c r="C22" s="187"/>
      <c r="D22" s="187"/>
      <c r="E22" s="187"/>
      <c r="F22" s="187">
        <f>[8]PASH!D38</f>
        <v>288878.93</v>
      </c>
      <c r="G22" s="188">
        <f>SUM(B22:F22)</f>
        <v>288878.93</v>
      </c>
      <c r="H22" s="187"/>
      <c r="I22" s="192">
        <f t="shared" si="0"/>
        <v>40443050.199999996</v>
      </c>
      <c r="K22" s="192">
        <f t="shared" si="1"/>
        <v>40133949.744900003</v>
      </c>
    </row>
    <row r="23" spans="1:11" ht="18" customHeight="1">
      <c r="A23" s="175" t="s">
        <v>187</v>
      </c>
      <c r="B23" s="187"/>
      <c r="C23" s="187"/>
      <c r="D23" s="187"/>
      <c r="E23" s="187"/>
      <c r="F23" s="187"/>
      <c r="G23" s="188">
        <f>SUM(B23:F23)</f>
        <v>0</v>
      </c>
      <c r="H23" s="187"/>
      <c r="I23" s="192">
        <f t="shared" si="0"/>
        <v>0</v>
      </c>
      <c r="K23" s="192">
        <f t="shared" si="1"/>
        <v>0</v>
      </c>
    </row>
    <row r="24" spans="1:11" ht="18" customHeight="1">
      <c r="A24" s="175" t="s">
        <v>192</v>
      </c>
      <c r="B24" s="187"/>
      <c r="C24" s="187"/>
      <c r="D24" s="187"/>
      <c r="E24" s="187"/>
      <c r="F24" s="187"/>
      <c r="G24" s="188">
        <f>SUM(B24:F24)</f>
        <v>0</v>
      </c>
      <c r="H24" s="187"/>
      <c r="I24" s="192">
        <f t="shared" si="0"/>
        <v>0</v>
      </c>
      <c r="K24" s="192">
        <f t="shared" si="1"/>
        <v>0</v>
      </c>
    </row>
    <row r="25" spans="1:11" ht="18" customHeight="1">
      <c r="A25" s="175" t="s">
        <v>193</v>
      </c>
      <c r="B25" s="187"/>
      <c r="C25" s="187"/>
      <c r="D25" s="187"/>
      <c r="E25" s="187"/>
      <c r="F25" s="187"/>
      <c r="G25" s="188">
        <f>SUM(B25:F25)</f>
        <v>0</v>
      </c>
      <c r="H25" s="187"/>
      <c r="I25" s="192">
        <f t="shared" si="0"/>
        <v>0</v>
      </c>
      <c r="K25" s="192">
        <f t="shared" si="1"/>
        <v>0</v>
      </c>
    </row>
    <row r="26" spans="1:11" ht="18" customHeight="1" thickBot="1">
      <c r="A26" s="181" t="s">
        <v>194</v>
      </c>
      <c r="B26" s="189"/>
      <c r="C26" s="189"/>
      <c r="D26" s="189"/>
      <c r="E26" s="189"/>
      <c r="F26" s="190">
        <f>F22</f>
        <v>288878.93</v>
      </c>
      <c r="G26" s="191">
        <f>G22+G20</f>
        <v>285009.28999999998</v>
      </c>
      <c r="H26" s="187">
        <f>G26-[8]BGJ!E105</f>
        <v>0</v>
      </c>
      <c r="I26" s="192">
        <f t="shared" si="0"/>
        <v>40443050.199999996</v>
      </c>
      <c r="K26" s="192">
        <f t="shared" si="1"/>
        <v>39596340.659699999</v>
      </c>
    </row>
    <row r="27" spans="1:11" ht="6" customHeight="1" thickTop="1">
      <c r="I27" s="192">
        <f t="shared" si="0"/>
        <v>0</v>
      </c>
      <c r="K27" s="192">
        <f t="shared" si="1"/>
        <v>0</v>
      </c>
    </row>
    <row r="28" spans="1:11" ht="18" customHeight="1">
      <c r="A28" s="175" t="s">
        <v>191</v>
      </c>
      <c r="B28" s="187"/>
      <c r="C28" s="187"/>
      <c r="D28" s="187"/>
      <c r="E28" s="187"/>
      <c r="F28" s="187">
        <f>'[7]PASH 2012'!D39</f>
        <v>253061.31400000004</v>
      </c>
      <c r="G28" s="188">
        <f>SUM(B28:F28)</f>
        <v>253061.31400000004</v>
      </c>
      <c r="H28" s="187"/>
      <c r="I28" s="192">
        <f t="shared" si="0"/>
        <v>35428583.960000008</v>
      </c>
      <c r="K28" s="192">
        <f t="shared" si="1"/>
        <v>35157808.354020007</v>
      </c>
    </row>
    <row r="29" spans="1:11" ht="18" customHeight="1">
      <c r="A29" s="175" t="s">
        <v>187</v>
      </c>
      <c r="B29" s="187"/>
      <c r="C29" s="187"/>
      <c r="D29" s="187"/>
      <c r="E29" s="187"/>
      <c r="F29" s="187"/>
      <c r="G29" s="188">
        <f>SUM(B29:F29)</f>
        <v>0</v>
      </c>
      <c r="H29" s="187"/>
      <c r="I29" s="192">
        <f t="shared" si="0"/>
        <v>0</v>
      </c>
      <c r="K29" s="192">
        <f t="shared" si="1"/>
        <v>0</v>
      </c>
    </row>
    <row r="30" spans="1:11" ht="18" customHeight="1">
      <c r="A30" s="175" t="s">
        <v>195</v>
      </c>
      <c r="B30" s="187"/>
      <c r="C30" s="187"/>
      <c r="D30" s="187"/>
      <c r="E30" s="187"/>
      <c r="F30" s="187"/>
      <c r="G30" s="188">
        <f>SUM(B30:F30)</f>
        <v>0</v>
      </c>
      <c r="H30" s="187"/>
      <c r="I30" s="192">
        <f t="shared" si="0"/>
        <v>0</v>
      </c>
      <c r="K30" s="192">
        <f t="shared" si="1"/>
        <v>0</v>
      </c>
    </row>
    <row r="31" spans="1:11" ht="18" customHeight="1">
      <c r="A31" s="175" t="s">
        <v>193</v>
      </c>
      <c r="B31" s="187"/>
      <c r="C31" s="187"/>
      <c r="D31" s="187"/>
      <c r="E31" s="187"/>
      <c r="F31" s="187"/>
      <c r="G31" s="188">
        <f>SUM(B31:F31)</f>
        <v>0</v>
      </c>
      <c r="H31" s="187"/>
      <c r="I31" s="192">
        <f t="shared" si="0"/>
        <v>0</v>
      </c>
      <c r="K31" s="192">
        <f t="shared" si="1"/>
        <v>0</v>
      </c>
    </row>
    <row r="32" spans="1:11" ht="18" customHeight="1" thickBot="1">
      <c r="A32" s="181" t="s">
        <v>196</v>
      </c>
      <c r="B32" s="190">
        <f t="shared" ref="B32:G32" si="2">SUM(B26:B31)</f>
        <v>0</v>
      </c>
      <c r="C32" s="190">
        <f t="shared" si="2"/>
        <v>0</v>
      </c>
      <c r="D32" s="190">
        <f t="shared" si="2"/>
        <v>0</v>
      </c>
      <c r="E32" s="190">
        <f t="shared" si="2"/>
        <v>0</v>
      </c>
      <c r="F32" s="190">
        <f t="shared" si="2"/>
        <v>541940.24400000006</v>
      </c>
      <c r="G32" s="190">
        <f t="shared" si="2"/>
        <v>538070.60400000005</v>
      </c>
      <c r="H32" s="187">
        <f>G32-'[7]BGJ 2012'!E102</f>
        <v>0</v>
      </c>
      <c r="I32" s="192">
        <f t="shared" si="0"/>
        <v>75871634.160000011</v>
      </c>
      <c r="K32" s="192">
        <f t="shared" si="1"/>
        <v>74754149.013720006</v>
      </c>
    </row>
    <row r="33" ht="13.5" thickTop="1"/>
  </sheetData>
  <mergeCells count="3">
    <mergeCell ref="A4:G4"/>
    <mergeCell ref="A6:G6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E12" sqref="E12"/>
    </sheetView>
  </sheetViews>
  <sheetFormatPr defaultRowHeight="15"/>
  <cols>
    <col min="1" max="1" width="5.42578125" customWidth="1"/>
    <col min="2" max="2" width="45.7109375" customWidth="1"/>
    <col min="4" max="4" width="14.7109375" customWidth="1"/>
    <col min="5" max="5" width="15" customWidth="1"/>
  </cols>
  <sheetData>
    <row r="1" spans="1:5" ht="21">
      <c r="A1" s="400" t="s">
        <v>0</v>
      </c>
      <c r="B1" s="400"/>
      <c r="C1" s="400"/>
      <c r="D1" s="400"/>
      <c r="E1" s="400"/>
    </row>
    <row r="2" spans="1:5" ht="16.5">
      <c r="A2" s="1"/>
      <c r="B2" s="2" t="s">
        <v>1</v>
      </c>
      <c r="C2" s="1"/>
      <c r="D2" s="1"/>
      <c r="E2" s="1"/>
    </row>
    <row r="3" spans="1:5" ht="17.25" thickBot="1">
      <c r="A3" s="3"/>
      <c r="B3" s="3"/>
      <c r="C3" s="3"/>
      <c r="D3" s="3"/>
      <c r="E3" s="3"/>
    </row>
    <row r="4" spans="1:5">
      <c r="A4" s="401" t="s">
        <v>2</v>
      </c>
      <c r="B4" s="403" t="s">
        <v>3</v>
      </c>
      <c r="C4" s="405" t="s">
        <v>4</v>
      </c>
      <c r="D4" s="4" t="s">
        <v>5</v>
      </c>
      <c r="E4" s="5" t="s">
        <v>5</v>
      </c>
    </row>
    <row r="5" spans="1:5">
      <c r="A5" s="402"/>
      <c r="B5" s="404"/>
      <c r="C5" s="406"/>
      <c r="D5" s="6" t="s">
        <v>6</v>
      </c>
      <c r="E5" s="7" t="s">
        <v>7</v>
      </c>
    </row>
    <row r="6" spans="1:5" ht="16.5">
      <c r="A6" s="8" t="s">
        <v>8</v>
      </c>
      <c r="B6" s="9" t="s">
        <v>9</v>
      </c>
      <c r="C6" s="10" t="s">
        <v>10</v>
      </c>
      <c r="D6" s="11">
        <f>D7+D10+D11+D18+D25+D26+D27</f>
        <v>366761575.41625994</v>
      </c>
      <c r="E6" s="12">
        <f>E7+E10+E11+E18+E25+E26+E27</f>
        <v>247446778</v>
      </c>
    </row>
    <row r="7" spans="1:5" ht="16.5">
      <c r="A7" s="13"/>
      <c r="B7" s="14" t="s">
        <v>11</v>
      </c>
      <c r="C7" s="15"/>
      <c r="D7" s="11">
        <f>SUM(D8:D9)</f>
        <v>2540803.2318198681</v>
      </c>
      <c r="E7" s="16">
        <f>SUM(E8:E9)</f>
        <v>4035637</v>
      </c>
    </row>
    <row r="8" spans="1:5" ht="16.5">
      <c r="A8" s="17"/>
      <c r="B8" s="18" t="s">
        <v>12</v>
      </c>
      <c r="C8" s="15"/>
      <c r="D8" s="19">
        <f>+[1]bilanci!G38</f>
        <v>1688426.2318198681</v>
      </c>
      <c r="E8" s="16">
        <f>+[1]bilanci!C38</f>
        <v>3392606</v>
      </c>
    </row>
    <row r="9" spans="1:5" ht="16.5">
      <c r="A9" s="17"/>
      <c r="B9" s="18" t="s">
        <v>13</v>
      </c>
      <c r="C9" s="15"/>
      <c r="D9" s="19">
        <f>+[1]bilanci!G41</f>
        <v>852377</v>
      </c>
      <c r="E9" s="16">
        <f>+[1]bilanci!C41</f>
        <v>643031</v>
      </c>
    </row>
    <row r="10" spans="1:5" ht="16.5">
      <c r="A10" s="17"/>
      <c r="B10" s="20" t="s">
        <v>14</v>
      </c>
      <c r="C10" s="21"/>
      <c r="D10" s="19"/>
      <c r="E10" s="16"/>
    </row>
    <row r="11" spans="1:5" ht="16.5">
      <c r="A11" s="17"/>
      <c r="B11" s="14" t="s">
        <v>15</v>
      </c>
      <c r="C11" s="15"/>
      <c r="D11" s="11">
        <f>SUM(D12:D17)</f>
        <v>281911710.68173999</v>
      </c>
      <c r="E11" s="12">
        <f>SUM(E12:E17)</f>
        <v>179411832.5</v>
      </c>
    </row>
    <row r="12" spans="1:5" ht="16.5">
      <c r="A12" s="17"/>
      <c r="B12" s="18" t="s">
        <v>16</v>
      </c>
      <c r="C12" s="15"/>
      <c r="D12" s="19">
        <f>+[1]bilanci!G29</f>
        <v>195825453.06387997</v>
      </c>
      <c r="E12" s="16">
        <f>+[1]bilanci!C29</f>
        <v>124411832.5</v>
      </c>
    </row>
    <row r="13" spans="1:5" ht="16.5">
      <c r="A13" s="17"/>
      <c r="B13" s="18" t="s">
        <v>17</v>
      </c>
      <c r="C13" s="15"/>
      <c r="D13" s="19">
        <f>+[1]bilanci!G31</f>
        <v>0</v>
      </c>
      <c r="E13" s="16"/>
    </row>
    <row r="14" spans="1:5" ht="16.5">
      <c r="A14" s="17"/>
      <c r="B14" s="18" t="s">
        <v>18</v>
      </c>
      <c r="C14" s="15"/>
      <c r="D14" s="22">
        <f>+[1]bilanci!G32</f>
        <v>0</v>
      </c>
      <c r="E14" s="16">
        <f>+[1]bilanci!C32</f>
        <v>0</v>
      </c>
    </row>
    <row r="15" spans="1:5" ht="16.5">
      <c r="A15" s="17"/>
      <c r="B15" s="18" t="s">
        <v>19</v>
      </c>
      <c r="C15" s="15"/>
      <c r="D15" s="19">
        <f>+[1]bilanci!G30</f>
        <v>1086257.6178600192</v>
      </c>
      <c r="E15" s="16">
        <f>+[1]bilanci!C30</f>
        <v>0</v>
      </c>
    </row>
    <row r="16" spans="1:5" ht="16.5">
      <c r="A16" s="17"/>
      <c r="B16" s="18" t="s">
        <v>20</v>
      </c>
      <c r="C16" s="15"/>
      <c r="D16" s="19">
        <f>+[1]bilanci!G16</f>
        <v>85000000</v>
      </c>
      <c r="E16" s="16">
        <f>+[1]bilanci!C16</f>
        <v>55000000</v>
      </c>
    </row>
    <row r="17" spans="1:5" ht="16.5">
      <c r="A17" s="17"/>
      <c r="B17" s="18" t="s">
        <v>21</v>
      </c>
      <c r="C17" s="15"/>
      <c r="D17" s="19">
        <f>+[1]bilanci!G33</f>
        <v>0</v>
      </c>
      <c r="E17" s="16"/>
    </row>
    <row r="18" spans="1:5" ht="16.5">
      <c r="A18" s="17"/>
      <c r="B18" s="14" t="s">
        <v>22</v>
      </c>
      <c r="C18" s="15"/>
      <c r="D18" s="11">
        <f>+D19+D20+D23+D24</f>
        <v>82309061.50270009</v>
      </c>
      <c r="E18" s="12">
        <f>+E19+E20+E23</f>
        <v>63999308.5</v>
      </c>
    </row>
    <row r="19" spans="1:5" ht="16.5">
      <c r="A19" s="17"/>
      <c r="B19" s="18" t="s">
        <v>23</v>
      </c>
      <c r="C19" s="15"/>
      <c r="D19" s="19"/>
      <c r="E19" s="16"/>
    </row>
    <row r="20" spans="1:5" ht="16.5">
      <c r="A20" s="17"/>
      <c r="B20" s="18" t="s">
        <v>24</v>
      </c>
      <c r="C20" s="15"/>
      <c r="D20" s="19">
        <f>+[1]bilanci!G26</f>
        <v>76560</v>
      </c>
      <c r="E20" s="16">
        <f>+[1]bilanci!C26</f>
        <v>76560</v>
      </c>
    </row>
    <row r="21" spans="1:5" ht="16.5">
      <c r="A21" s="17"/>
      <c r="B21" s="18" t="s">
        <v>25</v>
      </c>
      <c r="C21" s="15"/>
      <c r="D21" s="19"/>
      <c r="E21" s="16"/>
    </row>
    <row r="22" spans="1:5" ht="16.5">
      <c r="A22" s="17"/>
      <c r="B22" s="18" t="s">
        <v>26</v>
      </c>
      <c r="C22" s="15"/>
      <c r="D22" s="19"/>
      <c r="E22" s="16"/>
    </row>
    <row r="23" spans="1:5" ht="16.5">
      <c r="A23" s="17"/>
      <c r="B23" s="18" t="s">
        <v>27</v>
      </c>
      <c r="C23" s="15"/>
      <c r="D23" s="19">
        <f>+[1]bilanci!G25</f>
        <v>70235316.50270009</v>
      </c>
      <c r="E23" s="16">
        <f>+[1]bilanci!C25</f>
        <v>63922748.5</v>
      </c>
    </row>
    <row r="24" spans="1:5" ht="16.5">
      <c r="A24" s="17"/>
      <c r="B24" s="18" t="s">
        <v>28</v>
      </c>
      <c r="C24" s="15"/>
      <c r="D24" s="19">
        <f>+[1]bilanci!G13</f>
        <v>11997185</v>
      </c>
      <c r="E24" s="16"/>
    </row>
    <row r="25" spans="1:5" ht="16.5">
      <c r="A25" s="13"/>
      <c r="B25" s="14" t="s">
        <v>29</v>
      </c>
      <c r="C25" s="15"/>
      <c r="D25" s="19"/>
      <c r="E25" s="16"/>
    </row>
    <row r="26" spans="1:5" ht="16.5">
      <c r="A26" s="17"/>
      <c r="B26" s="14" t="s">
        <v>30</v>
      </c>
      <c r="C26" s="15"/>
      <c r="D26" s="19"/>
      <c r="E26" s="16"/>
    </row>
    <row r="27" spans="1:5" ht="16.5">
      <c r="A27" s="17"/>
      <c r="B27" s="14" t="s">
        <v>31</v>
      </c>
      <c r="C27" s="15"/>
      <c r="D27" s="11">
        <f>SUM(D28:D28)</f>
        <v>0</v>
      </c>
      <c r="E27" s="12">
        <f>SUM(E28:E28)</f>
        <v>0</v>
      </c>
    </row>
    <row r="28" spans="1:5" ht="16.5">
      <c r="A28" s="17"/>
      <c r="B28" s="18" t="s">
        <v>32</v>
      </c>
      <c r="C28" s="15"/>
      <c r="D28" s="19">
        <f>+[1]bilanci!G37</f>
        <v>0</v>
      </c>
      <c r="E28" s="16">
        <f>+[1]bilanci!C37</f>
        <v>0</v>
      </c>
    </row>
    <row r="29" spans="1:5" ht="16.5">
      <c r="A29" s="8" t="s">
        <v>33</v>
      </c>
      <c r="B29" s="14" t="s">
        <v>34</v>
      </c>
      <c r="C29" s="10" t="s">
        <v>10</v>
      </c>
      <c r="D29" s="11">
        <f>D30+D31+D36+D37+D38+D39</f>
        <v>144832460.09085667</v>
      </c>
      <c r="E29" s="12">
        <f>E30+E31+E36+E37+E38+E39</f>
        <v>151570817</v>
      </c>
    </row>
    <row r="30" spans="1:5" ht="16.5">
      <c r="A30" s="17"/>
      <c r="B30" s="14" t="s">
        <v>35</v>
      </c>
      <c r="C30" s="15"/>
      <c r="D30" s="19"/>
      <c r="E30" s="16"/>
    </row>
    <row r="31" spans="1:5" ht="16.5">
      <c r="A31" s="17"/>
      <c r="B31" s="14" t="s">
        <v>36</v>
      </c>
      <c r="C31" s="15"/>
      <c r="D31" s="11">
        <f>+D32+D33+D34+D35</f>
        <v>144832460.09085667</v>
      </c>
      <c r="E31" s="12">
        <f>+E32+E33+E34+E35</f>
        <v>151570817</v>
      </c>
    </row>
    <row r="32" spans="1:5" ht="16.5">
      <c r="A32" s="17"/>
      <c r="B32" s="18" t="s">
        <v>37</v>
      </c>
      <c r="C32" s="15"/>
      <c r="D32" s="19"/>
      <c r="E32" s="16"/>
    </row>
    <row r="33" spans="1:5" ht="16.5">
      <c r="A33" s="17"/>
      <c r="B33" s="18" t="s">
        <v>38</v>
      </c>
      <c r="C33" s="15"/>
      <c r="D33" s="22">
        <f>+[1]akt!$D$35</f>
        <v>64963852.899999999</v>
      </c>
      <c r="E33" s="16">
        <f>+[1]bilanci!C18</f>
        <v>60853104</v>
      </c>
    </row>
    <row r="34" spans="1:5" ht="16.5">
      <c r="A34" s="17"/>
      <c r="B34" s="18" t="s">
        <v>39</v>
      </c>
      <c r="C34" s="15"/>
      <c r="D34" s="22">
        <f>+[1]akt!$D$36</f>
        <v>79868607.190856665</v>
      </c>
      <c r="E34" s="16">
        <f>+[1]bilanci!C19</f>
        <v>90717713</v>
      </c>
    </row>
    <row r="35" spans="1:5" ht="16.5">
      <c r="A35" s="17"/>
      <c r="B35" s="18"/>
      <c r="C35" s="15"/>
      <c r="D35" s="19"/>
      <c r="E35" s="16"/>
    </row>
    <row r="36" spans="1:5" ht="16.5">
      <c r="A36" s="17"/>
      <c r="B36" s="14" t="s">
        <v>40</v>
      </c>
      <c r="C36" s="15"/>
      <c r="D36" s="19"/>
      <c r="E36" s="16"/>
    </row>
    <row r="37" spans="1:5" ht="16.5">
      <c r="A37" s="17"/>
      <c r="B37" s="14" t="s">
        <v>41</v>
      </c>
      <c r="C37" s="15"/>
      <c r="D37" s="19">
        <f>+[1]bilanci!G17+[1]bilanci!G22</f>
        <v>0</v>
      </c>
      <c r="E37" s="16"/>
    </row>
    <row r="38" spans="1:5" ht="16.5">
      <c r="A38" s="17"/>
      <c r="B38" s="14" t="s">
        <v>42</v>
      </c>
      <c r="C38" s="15"/>
      <c r="D38" s="19"/>
      <c r="E38" s="16"/>
    </row>
    <row r="39" spans="1:5" ht="16.5">
      <c r="A39" s="17"/>
      <c r="B39" s="14" t="s">
        <v>43</v>
      </c>
      <c r="C39" s="15"/>
      <c r="D39" s="19"/>
      <c r="E39" s="16"/>
    </row>
    <row r="40" spans="1:5" ht="16.5">
      <c r="A40" s="17"/>
      <c r="B40" s="9" t="s">
        <v>44</v>
      </c>
      <c r="C40" s="10" t="s">
        <v>10</v>
      </c>
      <c r="D40" s="11">
        <f>D29+D6</f>
        <v>511594035.50711662</v>
      </c>
      <c r="E40" s="12">
        <f>E29+E6</f>
        <v>399017595</v>
      </c>
    </row>
    <row r="41" spans="1:5" ht="17.25" thickBot="1">
      <c r="A41" s="23"/>
      <c r="B41" s="24"/>
      <c r="C41" s="24"/>
      <c r="D41" s="25"/>
      <c r="E41" s="26"/>
    </row>
  </sheetData>
  <mergeCells count="4">
    <mergeCell ref="A1:E1"/>
    <mergeCell ref="A4:A5"/>
    <mergeCell ref="B4:B5"/>
    <mergeCell ref="C4:C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106"/>
  <sheetViews>
    <sheetView workbookViewId="0">
      <selection activeCell="J14" sqref="J14"/>
    </sheetView>
  </sheetViews>
  <sheetFormatPr defaultRowHeight="13.5"/>
  <cols>
    <col min="1" max="1" width="3.85546875" style="194" customWidth="1"/>
    <col min="2" max="2" width="9.140625" style="194"/>
    <col min="3" max="3" width="47.28515625" style="194" customWidth="1"/>
    <col min="4" max="4" width="8.7109375" style="195" customWidth="1"/>
    <col min="5" max="5" width="19.42578125" style="196" customWidth="1"/>
    <col min="6" max="6" width="1.7109375" style="197" customWidth="1"/>
    <col min="7" max="7" width="12.7109375" style="196" hidden="1" customWidth="1"/>
    <col min="8" max="8" width="21.140625" style="196" customWidth="1"/>
    <col min="9" max="9" width="11.7109375" style="194" hidden="1" customWidth="1"/>
    <col min="10" max="10" width="5.85546875" style="194" customWidth="1"/>
    <col min="11" max="11" width="7.42578125" style="198" customWidth="1"/>
    <col min="12" max="12" width="19.7109375" style="223" bestFit="1" customWidth="1"/>
    <col min="13" max="13" width="9.140625" style="194"/>
    <col min="14" max="14" width="11.28515625" style="223" bestFit="1" customWidth="1"/>
    <col min="15" max="256" width="9.140625" style="194"/>
    <col min="257" max="257" width="3.85546875" style="194" customWidth="1"/>
    <col min="258" max="258" width="9.140625" style="194"/>
    <col min="259" max="259" width="47.28515625" style="194" customWidth="1"/>
    <col min="260" max="260" width="8.7109375" style="194" customWidth="1"/>
    <col min="261" max="261" width="19.42578125" style="194" customWidth="1"/>
    <col min="262" max="262" width="1.7109375" style="194" customWidth="1"/>
    <col min="263" max="263" width="0" style="194" hidden="1" customWidth="1"/>
    <col min="264" max="264" width="21.140625" style="194" customWidth="1"/>
    <col min="265" max="265" width="0" style="194" hidden="1" customWidth="1"/>
    <col min="266" max="267" width="9.140625" style="194"/>
    <col min="268" max="268" width="19.7109375" style="194" bestFit="1" customWidth="1"/>
    <col min="269" max="269" width="9.140625" style="194"/>
    <col min="270" max="270" width="11.28515625" style="194" bestFit="1" customWidth="1"/>
    <col min="271" max="512" width="9.140625" style="194"/>
    <col min="513" max="513" width="3.85546875" style="194" customWidth="1"/>
    <col min="514" max="514" width="9.140625" style="194"/>
    <col min="515" max="515" width="47.28515625" style="194" customWidth="1"/>
    <col min="516" max="516" width="8.7109375" style="194" customWidth="1"/>
    <col min="517" max="517" width="19.42578125" style="194" customWidth="1"/>
    <col min="518" max="518" width="1.7109375" style="194" customWidth="1"/>
    <col min="519" max="519" width="0" style="194" hidden="1" customWidth="1"/>
    <col min="520" max="520" width="21.140625" style="194" customWidth="1"/>
    <col min="521" max="521" width="0" style="194" hidden="1" customWidth="1"/>
    <col min="522" max="523" width="9.140625" style="194"/>
    <col min="524" max="524" width="19.7109375" style="194" bestFit="1" customWidth="1"/>
    <col min="525" max="525" width="9.140625" style="194"/>
    <col min="526" max="526" width="11.28515625" style="194" bestFit="1" customWidth="1"/>
    <col min="527" max="768" width="9.140625" style="194"/>
    <col min="769" max="769" width="3.85546875" style="194" customWidth="1"/>
    <col min="770" max="770" width="9.140625" style="194"/>
    <col min="771" max="771" width="47.28515625" style="194" customWidth="1"/>
    <col min="772" max="772" width="8.7109375" style="194" customWidth="1"/>
    <col min="773" max="773" width="19.42578125" style="194" customWidth="1"/>
    <col min="774" max="774" width="1.7109375" style="194" customWidth="1"/>
    <col min="775" max="775" width="0" style="194" hidden="1" customWidth="1"/>
    <col min="776" max="776" width="21.140625" style="194" customWidth="1"/>
    <col min="777" max="777" width="0" style="194" hidden="1" customWidth="1"/>
    <col min="778" max="779" width="9.140625" style="194"/>
    <col min="780" max="780" width="19.7109375" style="194" bestFit="1" customWidth="1"/>
    <col min="781" max="781" width="9.140625" style="194"/>
    <col min="782" max="782" width="11.28515625" style="194" bestFit="1" customWidth="1"/>
    <col min="783" max="1024" width="9.140625" style="194"/>
    <col min="1025" max="1025" width="3.85546875" style="194" customWidth="1"/>
    <col min="1026" max="1026" width="9.140625" style="194"/>
    <col min="1027" max="1027" width="47.28515625" style="194" customWidth="1"/>
    <col min="1028" max="1028" width="8.7109375" style="194" customWidth="1"/>
    <col min="1029" max="1029" width="19.42578125" style="194" customWidth="1"/>
    <col min="1030" max="1030" width="1.7109375" style="194" customWidth="1"/>
    <col min="1031" max="1031" width="0" style="194" hidden="1" customWidth="1"/>
    <col min="1032" max="1032" width="21.140625" style="194" customWidth="1"/>
    <col min="1033" max="1033" width="0" style="194" hidden="1" customWidth="1"/>
    <col min="1034" max="1035" width="9.140625" style="194"/>
    <col min="1036" max="1036" width="19.7109375" style="194" bestFit="1" customWidth="1"/>
    <col min="1037" max="1037" width="9.140625" style="194"/>
    <col min="1038" max="1038" width="11.28515625" style="194" bestFit="1" customWidth="1"/>
    <col min="1039" max="1280" width="9.140625" style="194"/>
    <col min="1281" max="1281" width="3.85546875" style="194" customWidth="1"/>
    <col min="1282" max="1282" width="9.140625" style="194"/>
    <col min="1283" max="1283" width="47.28515625" style="194" customWidth="1"/>
    <col min="1284" max="1284" width="8.7109375" style="194" customWidth="1"/>
    <col min="1285" max="1285" width="19.42578125" style="194" customWidth="1"/>
    <col min="1286" max="1286" width="1.7109375" style="194" customWidth="1"/>
    <col min="1287" max="1287" width="0" style="194" hidden="1" customWidth="1"/>
    <col min="1288" max="1288" width="21.140625" style="194" customWidth="1"/>
    <col min="1289" max="1289" width="0" style="194" hidden="1" customWidth="1"/>
    <col min="1290" max="1291" width="9.140625" style="194"/>
    <col min="1292" max="1292" width="19.7109375" style="194" bestFit="1" customWidth="1"/>
    <col min="1293" max="1293" width="9.140625" style="194"/>
    <col min="1294" max="1294" width="11.28515625" style="194" bestFit="1" customWidth="1"/>
    <col min="1295" max="1536" width="9.140625" style="194"/>
    <col min="1537" max="1537" width="3.85546875" style="194" customWidth="1"/>
    <col min="1538" max="1538" width="9.140625" style="194"/>
    <col min="1539" max="1539" width="47.28515625" style="194" customWidth="1"/>
    <col min="1540" max="1540" width="8.7109375" style="194" customWidth="1"/>
    <col min="1541" max="1541" width="19.42578125" style="194" customWidth="1"/>
    <col min="1542" max="1542" width="1.7109375" style="194" customWidth="1"/>
    <col min="1543" max="1543" width="0" style="194" hidden="1" customWidth="1"/>
    <col min="1544" max="1544" width="21.140625" style="194" customWidth="1"/>
    <col min="1545" max="1545" width="0" style="194" hidden="1" customWidth="1"/>
    <col min="1546" max="1547" width="9.140625" style="194"/>
    <col min="1548" max="1548" width="19.7109375" style="194" bestFit="1" customWidth="1"/>
    <col min="1549" max="1549" width="9.140625" style="194"/>
    <col min="1550" max="1550" width="11.28515625" style="194" bestFit="1" customWidth="1"/>
    <col min="1551" max="1792" width="9.140625" style="194"/>
    <col min="1793" max="1793" width="3.85546875" style="194" customWidth="1"/>
    <col min="1794" max="1794" width="9.140625" style="194"/>
    <col min="1795" max="1795" width="47.28515625" style="194" customWidth="1"/>
    <col min="1796" max="1796" width="8.7109375" style="194" customWidth="1"/>
    <col min="1797" max="1797" width="19.42578125" style="194" customWidth="1"/>
    <col min="1798" max="1798" width="1.7109375" style="194" customWidth="1"/>
    <col min="1799" max="1799" width="0" style="194" hidden="1" customWidth="1"/>
    <col min="1800" max="1800" width="21.140625" style="194" customWidth="1"/>
    <col min="1801" max="1801" width="0" style="194" hidden="1" customWidth="1"/>
    <col min="1802" max="1803" width="9.140625" style="194"/>
    <col min="1804" max="1804" width="19.7109375" style="194" bestFit="1" customWidth="1"/>
    <col min="1805" max="1805" width="9.140625" style="194"/>
    <col min="1806" max="1806" width="11.28515625" style="194" bestFit="1" customWidth="1"/>
    <col min="1807" max="2048" width="9.140625" style="194"/>
    <col min="2049" max="2049" width="3.85546875" style="194" customWidth="1"/>
    <col min="2050" max="2050" width="9.140625" style="194"/>
    <col min="2051" max="2051" width="47.28515625" style="194" customWidth="1"/>
    <col min="2052" max="2052" width="8.7109375" style="194" customWidth="1"/>
    <col min="2053" max="2053" width="19.42578125" style="194" customWidth="1"/>
    <col min="2054" max="2054" width="1.7109375" style="194" customWidth="1"/>
    <col min="2055" max="2055" width="0" style="194" hidden="1" customWidth="1"/>
    <col min="2056" max="2056" width="21.140625" style="194" customWidth="1"/>
    <col min="2057" max="2057" width="0" style="194" hidden="1" customWidth="1"/>
    <col min="2058" max="2059" width="9.140625" style="194"/>
    <col min="2060" max="2060" width="19.7109375" style="194" bestFit="1" customWidth="1"/>
    <col min="2061" max="2061" width="9.140625" style="194"/>
    <col min="2062" max="2062" width="11.28515625" style="194" bestFit="1" customWidth="1"/>
    <col min="2063" max="2304" width="9.140625" style="194"/>
    <col min="2305" max="2305" width="3.85546875" style="194" customWidth="1"/>
    <col min="2306" max="2306" width="9.140625" style="194"/>
    <col min="2307" max="2307" width="47.28515625" style="194" customWidth="1"/>
    <col min="2308" max="2308" width="8.7109375" style="194" customWidth="1"/>
    <col min="2309" max="2309" width="19.42578125" style="194" customWidth="1"/>
    <col min="2310" max="2310" width="1.7109375" style="194" customWidth="1"/>
    <col min="2311" max="2311" width="0" style="194" hidden="1" customWidth="1"/>
    <col min="2312" max="2312" width="21.140625" style="194" customWidth="1"/>
    <col min="2313" max="2313" width="0" style="194" hidden="1" customWidth="1"/>
    <col min="2314" max="2315" width="9.140625" style="194"/>
    <col min="2316" max="2316" width="19.7109375" style="194" bestFit="1" customWidth="1"/>
    <col min="2317" max="2317" width="9.140625" style="194"/>
    <col min="2318" max="2318" width="11.28515625" style="194" bestFit="1" customWidth="1"/>
    <col min="2319" max="2560" width="9.140625" style="194"/>
    <col min="2561" max="2561" width="3.85546875" style="194" customWidth="1"/>
    <col min="2562" max="2562" width="9.140625" style="194"/>
    <col min="2563" max="2563" width="47.28515625" style="194" customWidth="1"/>
    <col min="2564" max="2564" width="8.7109375" style="194" customWidth="1"/>
    <col min="2565" max="2565" width="19.42578125" style="194" customWidth="1"/>
    <col min="2566" max="2566" width="1.7109375" style="194" customWidth="1"/>
    <col min="2567" max="2567" width="0" style="194" hidden="1" customWidth="1"/>
    <col min="2568" max="2568" width="21.140625" style="194" customWidth="1"/>
    <col min="2569" max="2569" width="0" style="194" hidden="1" customWidth="1"/>
    <col min="2570" max="2571" width="9.140625" style="194"/>
    <col min="2572" max="2572" width="19.7109375" style="194" bestFit="1" customWidth="1"/>
    <col min="2573" max="2573" width="9.140625" style="194"/>
    <col min="2574" max="2574" width="11.28515625" style="194" bestFit="1" customWidth="1"/>
    <col min="2575" max="2816" width="9.140625" style="194"/>
    <col min="2817" max="2817" width="3.85546875" style="194" customWidth="1"/>
    <col min="2818" max="2818" width="9.140625" style="194"/>
    <col min="2819" max="2819" width="47.28515625" style="194" customWidth="1"/>
    <col min="2820" max="2820" width="8.7109375" style="194" customWidth="1"/>
    <col min="2821" max="2821" width="19.42578125" style="194" customWidth="1"/>
    <col min="2822" max="2822" width="1.7109375" style="194" customWidth="1"/>
    <col min="2823" max="2823" width="0" style="194" hidden="1" customWidth="1"/>
    <col min="2824" max="2824" width="21.140625" style="194" customWidth="1"/>
    <col min="2825" max="2825" width="0" style="194" hidden="1" customWidth="1"/>
    <col min="2826" max="2827" width="9.140625" style="194"/>
    <col min="2828" max="2828" width="19.7109375" style="194" bestFit="1" customWidth="1"/>
    <col min="2829" max="2829" width="9.140625" style="194"/>
    <col min="2830" max="2830" width="11.28515625" style="194" bestFit="1" customWidth="1"/>
    <col min="2831" max="3072" width="9.140625" style="194"/>
    <col min="3073" max="3073" width="3.85546875" style="194" customWidth="1"/>
    <col min="3074" max="3074" width="9.140625" style="194"/>
    <col min="3075" max="3075" width="47.28515625" style="194" customWidth="1"/>
    <col min="3076" max="3076" width="8.7109375" style="194" customWidth="1"/>
    <col min="3077" max="3077" width="19.42578125" style="194" customWidth="1"/>
    <col min="3078" max="3078" width="1.7109375" style="194" customWidth="1"/>
    <col min="3079" max="3079" width="0" style="194" hidden="1" customWidth="1"/>
    <col min="3080" max="3080" width="21.140625" style="194" customWidth="1"/>
    <col min="3081" max="3081" width="0" style="194" hidden="1" customWidth="1"/>
    <col min="3082" max="3083" width="9.140625" style="194"/>
    <col min="3084" max="3084" width="19.7109375" style="194" bestFit="1" customWidth="1"/>
    <col min="3085" max="3085" width="9.140625" style="194"/>
    <col min="3086" max="3086" width="11.28515625" style="194" bestFit="1" customWidth="1"/>
    <col min="3087" max="3328" width="9.140625" style="194"/>
    <col min="3329" max="3329" width="3.85546875" style="194" customWidth="1"/>
    <col min="3330" max="3330" width="9.140625" style="194"/>
    <col min="3331" max="3331" width="47.28515625" style="194" customWidth="1"/>
    <col min="3332" max="3332" width="8.7109375" style="194" customWidth="1"/>
    <col min="3333" max="3333" width="19.42578125" style="194" customWidth="1"/>
    <col min="3334" max="3334" width="1.7109375" style="194" customWidth="1"/>
    <col min="3335" max="3335" width="0" style="194" hidden="1" customWidth="1"/>
    <col min="3336" max="3336" width="21.140625" style="194" customWidth="1"/>
    <col min="3337" max="3337" width="0" style="194" hidden="1" customWidth="1"/>
    <col min="3338" max="3339" width="9.140625" style="194"/>
    <col min="3340" max="3340" width="19.7109375" style="194" bestFit="1" customWidth="1"/>
    <col min="3341" max="3341" width="9.140625" style="194"/>
    <col min="3342" max="3342" width="11.28515625" style="194" bestFit="1" customWidth="1"/>
    <col min="3343" max="3584" width="9.140625" style="194"/>
    <col min="3585" max="3585" width="3.85546875" style="194" customWidth="1"/>
    <col min="3586" max="3586" width="9.140625" style="194"/>
    <col min="3587" max="3587" width="47.28515625" style="194" customWidth="1"/>
    <col min="3588" max="3588" width="8.7109375" style="194" customWidth="1"/>
    <col min="3589" max="3589" width="19.42578125" style="194" customWidth="1"/>
    <col min="3590" max="3590" width="1.7109375" style="194" customWidth="1"/>
    <col min="3591" max="3591" width="0" style="194" hidden="1" customWidth="1"/>
    <col min="3592" max="3592" width="21.140625" style="194" customWidth="1"/>
    <col min="3593" max="3593" width="0" style="194" hidden="1" customWidth="1"/>
    <col min="3594" max="3595" width="9.140625" style="194"/>
    <col min="3596" max="3596" width="19.7109375" style="194" bestFit="1" customWidth="1"/>
    <col min="3597" max="3597" width="9.140625" style="194"/>
    <col min="3598" max="3598" width="11.28515625" style="194" bestFit="1" customWidth="1"/>
    <col min="3599" max="3840" width="9.140625" style="194"/>
    <col min="3841" max="3841" width="3.85546875" style="194" customWidth="1"/>
    <col min="3842" max="3842" width="9.140625" style="194"/>
    <col min="3843" max="3843" width="47.28515625" style="194" customWidth="1"/>
    <col min="3844" max="3844" width="8.7109375" style="194" customWidth="1"/>
    <col min="3845" max="3845" width="19.42578125" style="194" customWidth="1"/>
    <col min="3846" max="3846" width="1.7109375" style="194" customWidth="1"/>
    <col min="3847" max="3847" width="0" style="194" hidden="1" customWidth="1"/>
    <col min="3848" max="3848" width="21.140625" style="194" customWidth="1"/>
    <col min="3849" max="3849" width="0" style="194" hidden="1" customWidth="1"/>
    <col min="3850" max="3851" width="9.140625" style="194"/>
    <col min="3852" max="3852" width="19.7109375" style="194" bestFit="1" customWidth="1"/>
    <col min="3853" max="3853" width="9.140625" style="194"/>
    <col min="3854" max="3854" width="11.28515625" style="194" bestFit="1" customWidth="1"/>
    <col min="3855" max="4096" width="9.140625" style="194"/>
    <col min="4097" max="4097" width="3.85546875" style="194" customWidth="1"/>
    <col min="4098" max="4098" width="9.140625" style="194"/>
    <col min="4099" max="4099" width="47.28515625" style="194" customWidth="1"/>
    <col min="4100" max="4100" width="8.7109375" style="194" customWidth="1"/>
    <col min="4101" max="4101" width="19.42578125" style="194" customWidth="1"/>
    <col min="4102" max="4102" width="1.7109375" style="194" customWidth="1"/>
    <col min="4103" max="4103" width="0" style="194" hidden="1" customWidth="1"/>
    <col min="4104" max="4104" width="21.140625" style="194" customWidth="1"/>
    <col min="4105" max="4105" width="0" style="194" hidden="1" customWidth="1"/>
    <col min="4106" max="4107" width="9.140625" style="194"/>
    <col min="4108" max="4108" width="19.7109375" style="194" bestFit="1" customWidth="1"/>
    <col min="4109" max="4109" width="9.140625" style="194"/>
    <col min="4110" max="4110" width="11.28515625" style="194" bestFit="1" customWidth="1"/>
    <col min="4111" max="4352" width="9.140625" style="194"/>
    <col min="4353" max="4353" width="3.85546875" style="194" customWidth="1"/>
    <col min="4354" max="4354" width="9.140625" style="194"/>
    <col min="4355" max="4355" width="47.28515625" style="194" customWidth="1"/>
    <col min="4356" max="4356" width="8.7109375" style="194" customWidth="1"/>
    <col min="4357" max="4357" width="19.42578125" style="194" customWidth="1"/>
    <col min="4358" max="4358" width="1.7109375" style="194" customWidth="1"/>
    <col min="4359" max="4359" width="0" style="194" hidden="1" customWidth="1"/>
    <col min="4360" max="4360" width="21.140625" style="194" customWidth="1"/>
    <col min="4361" max="4361" width="0" style="194" hidden="1" customWidth="1"/>
    <col min="4362" max="4363" width="9.140625" style="194"/>
    <col min="4364" max="4364" width="19.7109375" style="194" bestFit="1" customWidth="1"/>
    <col min="4365" max="4365" width="9.140625" style="194"/>
    <col min="4366" max="4366" width="11.28515625" style="194" bestFit="1" customWidth="1"/>
    <col min="4367" max="4608" width="9.140625" style="194"/>
    <col min="4609" max="4609" width="3.85546875" style="194" customWidth="1"/>
    <col min="4610" max="4610" width="9.140625" style="194"/>
    <col min="4611" max="4611" width="47.28515625" style="194" customWidth="1"/>
    <col min="4612" max="4612" width="8.7109375" style="194" customWidth="1"/>
    <col min="4613" max="4613" width="19.42578125" style="194" customWidth="1"/>
    <col min="4614" max="4614" width="1.7109375" style="194" customWidth="1"/>
    <col min="4615" max="4615" width="0" style="194" hidden="1" customWidth="1"/>
    <col min="4616" max="4616" width="21.140625" style="194" customWidth="1"/>
    <col min="4617" max="4617" width="0" style="194" hidden="1" customWidth="1"/>
    <col min="4618" max="4619" width="9.140625" style="194"/>
    <col min="4620" max="4620" width="19.7109375" style="194" bestFit="1" customWidth="1"/>
    <col min="4621" max="4621" width="9.140625" style="194"/>
    <col min="4622" max="4622" width="11.28515625" style="194" bestFit="1" customWidth="1"/>
    <col min="4623" max="4864" width="9.140625" style="194"/>
    <col min="4865" max="4865" width="3.85546875" style="194" customWidth="1"/>
    <col min="4866" max="4866" width="9.140625" style="194"/>
    <col min="4867" max="4867" width="47.28515625" style="194" customWidth="1"/>
    <col min="4868" max="4868" width="8.7109375" style="194" customWidth="1"/>
    <col min="4869" max="4869" width="19.42578125" style="194" customWidth="1"/>
    <col min="4870" max="4870" width="1.7109375" style="194" customWidth="1"/>
    <col min="4871" max="4871" width="0" style="194" hidden="1" customWidth="1"/>
    <col min="4872" max="4872" width="21.140625" style="194" customWidth="1"/>
    <col min="4873" max="4873" width="0" style="194" hidden="1" customWidth="1"/>
    <col min="4874" max="4875" width="9.140625" style="194"/>
    <col min="4876" max="4876" width="19.7109375" style="194" bestFit="1" customWidth="1"/>
    <col min="4877" max="4877" width="9.140625" style="194"/>
    <col min="4878" max="4878" width="11.28515625" style="194" bestFit="1" customWidth="1"/>
    <col min="4879" max="5120" width="9.140625" style="194"/>
    <col min="5121" max="5121" width="3.85546875" style="194" customWidth="1"/>
    <col min="5122" max="5122" width="9.140625" style="194"/>
    <col min="5123" max="5123" width="47.28515625" style="194" customWidth="1"/>
    <col min="5124" max="5124" width="8.7109375" style="194" customWidth="1"/>
    <col min="5125" max="5125" width="19.42578125" style="194" customWidth="1"/>
    <col min="5126" max="5126" width="1.7109375" style="194" customWidth="1"/>
    <col min="5127" max="5127" width="0" style="194" hidden="1" customWidth="1"/>
    <col min="5128" max="5128" width="21.140625" style="194" customWidth="1"/>
    <col min="5129" max="5129" width="0" style="194" hidden="1" customWidth="1"/>
    <col min="5130" max="5131" width="9.140625" style="194"/>
    <col min="5132" max="5132" width="19.7109375" style="194" bestFit="1" customWidth="1"/>
    <col min="5133" max="5133" width="9.140625" style="194"/>
    <col min="5134" max="5134" width="11.28515625" style="194" bestFit="1" customWidth="1"/>
    <col min="5135" max="5376" width="9.140625" style="194"/>
    <col min="5377" max="5377" width="3.85546875" style="194" customWidth="1"/>
    <col min="5378" max="5378" width="9.140625" style="194"/>
    <col min="5379" max="5379" width="47.28515625" style="194" customWidth="1"/>
    <col min="5380" max="5380" width="8.7109375" style="194" customWidth="1"/>
    <col min="5381" max="5381" width="19.42578125" style="194" customWidth="1"/>
    <col min="5382" max="5382" width="1.7109375" style="194" customWidth="1"/>
    <col min="5383" max="5383" width="0" style="194" hidden="1" customWidth="1"/>
    <col min="5384" max="5384" width="21.140625" style="194" customWidth="1"/>
    <col min="5385" max="5385" width="0" style="194" hidden="1" customWidth="1"/>
    <col min="5386" max="5387" width="9.140625" style="194"/>
    <col min="5388" max="5388" width="19.7109375" style="194" bestFit="1" customWidth="1"/>
    <col min="5389" max="5389" width="9.140625" style="194"/>
    <col min="5390" max="5390" width="11.28515625" style="194" bestFit="1" customWidth="1"/>
    <col min="5391" max="5632" width="9.140625" style="194"/>
    <col min="5633" max="5633" width="3.85546875" style="194" customWidth="1"/>
    <col min="5634" max="5634" width="9.140625" style="194"/>
    <col min="5635" max="5635" width="47.28515625" style="194" customWidth="1"/>
    <col min="5636" max="5636" width="8.7109375" style="194" customWidth="1"/>
    <col min="5637" max="5637" width="19.42578125" style="194" customWidth="1"/>
    <col min="5638" max="5638" width="1.7109375" style="194" customWidth="1"/>
    <col min="5639" max="5639" width="0" style="194" hidden="1" customWidth="1"/>
    <col min="5640" max="5640" width="21.140625" style="194" customWidth="1"/>
    <col min="5641" max="5641" width="0" style="194" hidden="1" customWidth="1"/>
    <col min="5642" max="5643" width="9.140625" style="194"/>
    <col min="5644" max="5644" width="19.7109375" style="194" bestFit="1" customWidth="1"/>
    <col min="5645" max="5645" width="9.140625" style="194"/>
    <col min="5646" max="5646" width="11.28515625" style="194" bestFit="1" customWidth="1"/>
    <col min="5647" max="5888" width="9.140625" style="194"/>
    <col min="5889" max="5889" width="3.85546875" style="194" customWidth="1"/>
    <col min="5890" max="5890" width="9.140625" style="194"/>
    <col min="5891" max="5891" width="47.28515625" style="194" customWidth="1"/>
    <col min="5892" max="5892" width="8.7109375" style="194" customWidth="1"/>
    <col min="5893" max="5893" width="19.42578125" style="194" customWidth="1"/>
    <col min="5894" max="5894" width="1.7109375" style="194" customWidth="1"/>
    <col min="5895" max="5895" width="0" style="194" hidden="1" customWidth="1"/>
    <col min="5896" max="5896" width="21.140625" style="194" customWidth="1"/>
    <col min="5897" max="5897" width="0" style="194" hidden="1" customWidth="1"/>
    <col min="5898" max="5899" width="9.140625" style="194"/>
    <col min="5900" max="5900" width="19.7109375" style="194" bestFit="1" customWidth="1"/>
    <col min="5901" max="5901" width="9.140625" style="194"/>
    <col min="5902" max="5902" width="11.28515625" style="194" bestFit="1" customWidth="1"/>
    <col min="5903" max="6144" width="9.140625" style="194"/>
    <col min="6145" max="6145" width="3.85546875" style="194" customWidth="1"/>
    <col min="6146" max="6146" width="9.140625" style="194"/>
    <col min="6147" max="6147" width="47.28515625" style="194" customWidth="1"/>
    <col min="6148" max="6148" width="8.7109375" style="194" customWidth="1"/>
    <col min="6149" max="6149" width="19.42578125" style="194" customWidth="1"/>
    <col min="6150" max="6150" width="1.7109375" style="194" customWidth="1"/>
    <col min="6151" max="6151" width="0" style="194" hidden="1" customWidth="1"/>
    <col min="6152" max="6152" width="21.140625" style="194" customWidth="1"/>
    <col min="6153" max="6153" width="0" style="194" hidden="1" customWidth="1"/>
    <col min="6154" max="6155" width="9.140625" style="194"/>
    <col min="6156" max="6156" width="19.7109375" style="194" bestFit="1" customWidth="1"/>
    <col min="6157" max="6157" width="9.140625" style="194"/>
    <col min="6158" max="6158" width="11.28515625" style="194" bestFit="1" customWidth="1"/>
    <col min="6159" max="6400" width="9.140625" style="194"/>
    <col min="6401" max="6401" width="3.85546875" style="194" customWidth="1"/>
    <col min="6402" max="6402" width="9.140625" style="194"/>
    <col min="6403" max="6403" width="47.28515625" style="194" customWidth="1"/>
    <col min="6404" max="6404" width="8.7109375" style="194" customWidth="1"/>
    <col min="6405" max="6405" width="19.42578125" style="194" customWidth="1"/>
    <col min="6406" max="6406" width="1.7109375" style="194" customWidth="1"/>
    <col min="6407" max="6407" width="0" style="194" hidden="1" customWidth="1"/>
    <col min="6408" max="6408" width="21.140625" style="194" customWidth="1"/>
    <col min="6409" max="6409" width="0" style="194" hidden="1" customWidth="1"/>
    <col min="6410" max="6411" width="9.140625" style="194"/>
    <col min="6412" max="6412" width="19.7109375" style="194" bestFit="1" customWidth="1"/>
    <col min="6413" max="6413" width="9.140625" style="194"/>
    <col min="6414" max="6414" width="11.28515625" style="194" bestFit="1" customWidth="1"/>
    <col min="6415" max="6656" width="9.140625" style="194"/>
    <col min="6657" max="6657" width="3.85546875" style="194" customWidth="1"/>
    <col min="6658" max="6658" width="9.140625" style="194"/>
    <col min="6659" max="6659" width="47.28515625" style="194" customWidth="1"/>
    <col min="6660" max="6660" width="8.7109375" style="194" customWidth="1"/>
    <col min="6661" max="6661" width="19.42578125" style="194" customWidth="1"/>
    <col min="6662" max="6662" width="1.7109375" style="194" customWidth="1"/>
    <col min="6663" max="6663" width="0" style="194" hidden="1" customWidth="1"/>
    <col min="6664" max="6664" width="21.140625" style="194" customWidth="1"/>
    <col min="6665" max="6665" width="0" style="194" hidden="1" customWidth="1"/>
    <col min="6666" max="6667" width="9.140625" style="194"/>
    <col min="6668" max="6668" width="19.7109375" style="194" bestFit="1" customWidth="1"/>
    <col min="6669" max="6669" width="9.140625" style="194"/>
    <col min="6670" max="6670" width="11.28515625" style="194" bestFit="1" customWidth="1"/>
    <col min="6671" max="6912" width="9.140625" style="194"/>
    <col min="6913" max="6913" width="3.85546875" style="194" customWidth="1"/>
    <col min="6914" max="6914" width="9.140625" style="194"/>
    <col min="6915" max="6915" width="47.28515625" style="194" customWidth="1"/>
    <col min="6916" max="6916" width="8.7109375" style="194" customWidth="1"/>
    <col min="6917" max="6917" width="19.42578125" style="194" customWidth="1"/>
    <col min="6918" max="6918" width="1.7109375" style="194" customWidth="1"/>
    <col min="6919" max="6919" width="0" style="194" hidden="1" customWidth="1"/>
    <col min="6920" max="6920" width="21.140625" style="194" customWidth="1"/>
    <col min="6921" max="6921" width="0" style="194" hidden="1" customWidth="1"/>
    <col min="6922" max="6923" width="9.140625" style="194"/>
    <col min="6924" max="6924" width="19.7109375" style="194" bestFit="1" customWidth="1"/>
    <col min="6925" max="6925" width="9.140625" style="194"/>
    <col min="6926" max="6926" width="11.28515625" style="194" bestFit="1" customWidth="1"/>
    <col min="6927" max="7168" width="9.140625" style="194"/>
    <col min="7169" max="7169" width="3.85546875" style="194" customWidth="1"/>
    <col min="7170" max="7170" width="9.140625" style="194"/>
    <col min="7171" max="7171" width="47.28515625" style="194" customWidth="1"/>
    <col min="7172" max="7172" width="8.7109375" style="194" customWidth="1"/>
    <col min="7173" max="7173" width="19.42578125" style="194" customWidth="1"/>
    <col min="7174" max="7174" width="1.7109375" style="194" customWidth="1"/>
    <col min="7175" max="7175" width="0" style="194" hidden="1" customWidth="1"/>
    <col min="7176" max="7176" width="21.140625" style="194" customWidth="1"/>
    <col min="7177" max="7177" width="0" style="194" hidden="1" customWidth="1"/>
    <col min="7178" max="7179" width="9.140625" style="194"/>
    <col min="7180" max="7180" width="19.7109375" style="194" bestFit="1" customWidth="1"/>
    <col min="7181" max="7181" width="9.140625" style="194"/>
    <col min="7182" max="7182" width="11.28515625" style="194" bestFit="1" customWidth="1"/>
    <col min="7183" max="7424" width="9.140625" style="194"/>
    <col min="7425" max="7425" width="3.85546875" style="194" customWidth="1"/>
    <col min="7426" max="7426" width="9.140625" style="194"/>
    <col min="7427" max="7427" width="47.28515625" style="194" customWidth="1"/>
    <col min="7428" max="7428" width="8.7109375" style="194" customWidth="1"/>
    <col min="7429" max="7429" width="19.42578125" style="194" customWidth="1"/>
    <col min="7430" max="7430" width="1.7109375" style="194" customWidth="1"/>
    <col min="7431" max="7431" width="0" style="194" hidden="1" customWidth="1"/>
    <col min="7432" max="7432" width="21.140625" style="194" customWidth="1"/>
    <col min="7433" max="7433" width="0" style="194" hidden="1" customWidth="1"/>
    <col min="7434" max="7435" width="9.140625" style="194"/>
    <col min="7436" max="7436" width="19.7109375" style="194" bestFit="1" customWidth="1"/>
    <col min="7437" max="7437" width="9.140625" style="194"/>
    <col min="7438" max="7438" width="11.28515625" style="194" bestFit="1" customWidth="1"/>
    <col min="7439" max="7680" width="9.140625" style="194"/>
    <col min="7681" max="7681" width="3.85546875" style="194" customWidth="1"/>
    <col min="7682" max="7682" width="9.140625" style="194"/>
    <col min="7683" max="7683" width="47.28515625" style="194" customWidth="1"/>
    <col min="7684" max="7684" width="8.7109375" style="194" customWidth="1"/>
    <col min="7685" max="7685" width="19.42578125" style="194" customWidth="1"/>
    <col min="7686" max="7686" width="1.7109375" style="194" customWidth="1"/>
    <col min="7687" max="7687" width="0" style="194" hidden="1" customWidth="1"/>
    <col min="7688" max="7688" width="21.140625" style="194" customWidth="1"/>
    <col min="7689" max="7689" width="0" style="194" hidden="1" customWidth="1"/>
    <col min="7690" max="7691" width="9.140625" style="194"/>
    <col min="7692" max="7692" width="19.7109375" style="194" bestFit="1" customWidth="1"/>
    <col min="7693" max="7693" width="9.140625" style="194"/>
    <col min="7694" max="7694" width="11.28515625" style="194" bestFit="1" customWidth="1"/>
    <col min="7695" max="7936" width="9.140625" style="194"/>
    <col min="7937" max="7937" width="3.85546875" style="194" customWidth="1"/>
    <col min="7938" max="7938" width="9.140625" style="194"/>
    <col min="7939" max="7939" width="47.28515625" style="194" customWidth="1"/>
    <col min="7940" max="7940" width="8.7109375" style="194" customWidth="1"/>
    <col min="7941" max="7941" width="19.42578125" style="194" customWidth="1"/>
    <col min="7942" max="7942" width="1.7109375" style="194" customWidth="1"/>
    <col min="7943" max="7943" width="0" style="194" hidden="1" customWidth="1"/>
    <col min="7944" max="7944" width="21.140625" style="194" customWidth="1"/>
    <col min="7945" max="7945" width="0" style="194" hidden="1" customWidth="1"/>
    <col min="7946" max="7947" width="9.140625" style="194"/>
    <col min="7948" max="7948" width="19.7109375" style="194" bestFit="1" customWidth="1"/>
    <col min="7949" max="7949" width="9.140625" style="194"/>
    <col min="7950" max="7950" width="11.28515625" style="194" bestFit="1" customWidth="1"/>
    <col min="7951" max="8192" width="9.140625" style="194"/>
    <col min="8193" max="8193" width="3.85546875" style="194" customWidth="1"/>
    <col min="8194" max="8194" width="9.140625" style="194"/>
    <col min="8195" max="8195" width="47.28515625" style="194" customWidth="1"/>
    <col min="8196" max="8196" width="8.7109375" style="194" customWidth="1"/>
    <col min="8197" max="8197" width="19.42578125" style="194" customWidth="1"/>
    <col min="8198" max="8198" width="1.7109375" style="194" customWidth="1"/>
    <col min="8199" max="8199" width="0" style="194" hidden="1" customWidth="1"/>
    <col min="8200" max="8200" width="21.140625" style="194" customWidth="1"/>
    <col min="8201" max="8201" width="0" style="194" hidden="1" customWidth="1"/>
    <col min="8202" max="8203" width="9.140625" style="194"/>
    <col min="8204" max="8204" width="19.7109375" style="194" bestFit="1" customWidth="1"/>
    <col min="8205" max="8205" width="9.140625" style="194"/>
    <col min="8206" max="8206" width="11.28515625" style="194" bestFit="1" customWidth="1"/>
    <col min="8207" max="8448" width="9.140625" style="194"/>
    <col min="8449" max="8449" width="3.85546875" style="194" customWidth="1"/>
    <col min="8450" max="8450" width="9.140625" style="194"/>
    <col min="8451" max="8451" width="47.28515625" style="194" customWidth="1"/>
    <col min="8452" max="8452" width="8.7109375" style="194" customWidth="1"/>
    <col min="8453" max="8453" width="19.42578125" style="194" customWidth="1"/>
    <col min="8454" max="8454" width="1.7109375" style="194" customWidth="1"/>
    <col min="8455" max="8455" width="0" style="194" hidden="1" customWidth="1"/>
    <col min="8456" max="8456" width="21.140625" style="194" customWidth="1"/>
    <col min="8457" max="8457" width="0" style="194" hidden="1" customWidth="1"/>
    <col min="8458" max="8459" width="9.140625" style="194"/>
    <col min="8460" max="8460" width="19.7109375" style="194" bestFit="1" customWidth="1"/>
    <col min="8461" max="8461" width="9.140625" style="194"/>
    <col min="8462" max="8462" width="11.28515625" style="194" bestFit="1" customWidth="1"/>
    <col min="8463" max="8704" width="9.140625" style="194"/>
    <col min="8705" max="8705" width="3.85546875" style="194" customWidth="1"/>
    <col min="8706" max="8706" width="9.140625" style="194"/>
    <col min="8707" max="8707" width="47.28515625" style="194" customWidth="1"/>
    <col min="8708" max="8708" width="8.7109375" style="194" customWidth="1"/>
    <col min="8709" max="8709" width="19.42578125" style="194" customWidth="1"/>
    <col min="8710" max="8710" width="1.7109375" style="194" customWidth="1"/>
    <col min="8711" max="8711" width="0" style="194" hidden="1" customWidth="1"/>
    <col min="8712" max="8712" width="21.140625" style="194" customWidth="1"/>
    <col min="8713" max="8713" width="0" style="194" hidden="1" customWidth="1"/>
    <col min="8714" max="8715" width="9.140625" style="194"/>
    <col min="8716" max="8716" width="19.7109375" style="194" bestFit="1" customWidth="1"/>
    <col min="8717" max="8717" width="9.140625" style="194"/>
    <col min="8718" max="8718" width="11.28515625" style="194" bestFit="1" customWidth="1"/>
    <col min="8719" max="8960" width="9.140625" style="194"/>
    <col min="8961" max="8961" width="3.85546875" style="194" customWidth="1"/>
    <col min="8962" max="8962" width="9.140625" style="194"/>
    <col min="8963" max="8963" width="47.28515625" style="194" customWidth="1"/>
    <col min="8964" max="8964" width="8.7109375" style="194" customWidth="1"/>
    <col min="8965" max="8965" width="19.42578125" style="194" customWidth="1"/>
    <col min="8966" max="8966" width="1.7109375" style="194" customWidth="1"/>
    <col min="8967" max="8967" width="0" style="194" hidden="1" customWidth="1"/>
    <col min="8968" max="8968" width="21.140625" style="194" customWidth="1"/>
    <col min="8969" max="8969" width="0" style="194" hidden="1" customWidth="1"/>
    <col min="8970" max="8971" width="9.140625" style="194"/>
    <col min="8972" max="8972" width="19.7109375" style="194" bestFit="1" customWidth="1"/>
    <col min="8973" max="8973" width="9.140625" style="194"/>
    <col min="8974" max="8974" width="11.28515625" style="194" bestFit="1" customWidth="1"/>
    <col min="8975" max="9216" width="9.140625" style="194"/>
    <col min="9217" max="9217" width="3.85546875" style="194" customWidth="1"/>
    <col min="9218" max="9218" width="9.140625" style="194"/>
    <col min="9219" max="9219" width="47.28515625" style="194" customWidth="1"/>
    <col min="9220" max="9220" width="8.7109375" style="194" customWidth="1"/>
    <col min="9221" max="9221" width="19.42578125" style="194" customWidth="1"/>
    <col min="9222" max="9222" width="1.7109375" style="194" customWidth="1"/>
    <col min="9223" max="9223" width="0" style="194" hidden="1" customWidth="1"/>
    <col min="9224" max="9224" width="21.140625" style="194" customWidth="1"/>
    <col min="9225" max="9225" width="0" style="194" hidden="1" customWidth="1"/>
    <col min="9226" max="9227" width="9.140625" style="194"/>
    <col min="9228" max="9228" width="19.7109375" style="194" bestFit="1" customWidth="1"/>
    <col min="9229" max="9229" width="9.140625" style="194"/>
    <col min="9230" max="9230" width="11.28515625" style="194" bestFit="1" customWidth="1"/>
    <col min="9231" max="9472" width="9.140625" style="194"/>
    <col min="9473" max="9473" width="3.85546875" style="194" customWidth="1"/>
    <col min="9474" max="9474" width="9.140625" style="194"/>
    <col min="9475" max="9475" width="47.28515625" style="194" customWidth="1"/>
    <col min="9476" max="9476" width="8.7109375" style="194" customWidth="1"/>
    <col min="9477" max="9477" width="19.42578125" style="194" customWidth="1"/>
    <col min="9478" max="9478" width="1.7109375" style="194" customWidth="1"/>
    <col min="9479" max="9479" width="0" style="194" hidden="1" customWidth="1"/>
    <col min="9480" max="9480" width="21.140625" style="194" customWidth="1"/>
    <col min="9481" max="9481" width="0" style="194" hidden="1" customWidth="1"/>
    <col min="9482" max="9483" width="9.140625" style="194"/>
    <col min="9484" max="9484" width="19.7109375" style="194" bestFit="1" customWidth="1"/>
    <col min="9485" max="9485" width="9.140625" style="194"/>
    <col min="9486" max="9486" width="11.28515625" style="194" bestFit="1" customWidth="1"/>
    <col min="9487" max="9728" width="9.140625" style="194"/>
    <col min="9729" max="9729" width="3.85546875" style="194" customWidth="1"/>
    <col min="9730" max="9730" width="9.140625" style="194"/>
    <col min="9731" max="9731" width="47.28515625" style="194" customWidth="1"/>
    <col min="9732" max="9732" width="8.7109375" style="194" customWidth="1"/>
    <col min="9733" max="9733" width="19.42578125" style="194" customWidth="1"/>
    <col min="9734" max="9734" width="1.7109375" style="194" customWidth="1"/>
    <col min="9735" max="9735" width="0" style="194" hidden="1" customWidth="1"/>
    <col min="9736" max="9736" width="21.140625" style="194" customWidth="1"/>
    <col min="9737" max="9737" width="0" style="194" hidden="1" customWidth="1"/>
    <col min="9738" max="9739" width="9.140625" style="194"/>
    <col min="9740" max="9740" width="19.7109375" style="194" bestFit="1" customWidth="1"/>
    <col min="9741" max="9741" width="9.140625" style="194"/>
    <col min="9742" max="9742" width="11.28515625" style="194" bestFit="1" customWidth="1"/>
    <col min="9743" max="9984" width="9.140625" style="194"/>
    <col min="9985" max="9985" width="3.85546875" style="194" customWidth="1"/>
    <col min="9986" max="9986" width="9.140625" style="194"/>
    <col min="9987" max="9987" width="47.28515625" style="194" customWidth="1"/>
    <col min="9988" max="9988" width="8.7109375" style="194" customWidth="1"/>
    <col min="9989" max="9989" width="19.42578125" style="194" customWidth="1"/>
    <col min="9990" max="9990" width="1.7109375" style="194" customWidth="1"/>
    <col min="9991" max="9991" width="0" style="194" hidden="1" customWidth="1"/>
    <col min="9992" max="9992" width="21.140625" style="194" customWidth="1"/>
    <col min="9993" max="9993" width="0" style="194" hidden="1" customWidth="1"/>
    <col min="9994" max="9995" width="9.140625" style="194"/>
    <col min="9996" max="9996" width="19.7109375" style="194" bestFit="1" customWidth="1"/>
    <col min="9997" max="9997" width="9.140625" style="194"/>
    <col min="9998" max="9998" width="11.28515625" style="194" bestFit="1" customWidth="1"/>
    <col min="9999" max="10240" width="9.140625" style="194"/>
    <col min="10241" max="10241" width="3.85546875" style="194" customWidth="1"/>
    <col min="10242" max="10242" width="9.140625" style="194"/>
    <col min="10243" max="10243" width="47.28515625" style="194" customWidth="1"/>
    <col min="10244" max="10244" width="8.7109375" style="194" customWidth="1"/>
    <col min="10245" max="10245" width="19.42578125" style="194" customWidth="1"/>
    <col min="10246" max="10246" width="1.7109375" style="194" customWidth="1"/>
    <col min="10247" max="10247" width="0" style="194" hidden="1" customWidth="1"/>
    <col min="10248" max="10248" width="21.140625" style="194" customWidth="1"/>
    <col min="10249" max="10249" width="0" style="194" hidden="1" customWidth="1"/>
    <col min="10250" max="10251" width="9.140625" style="194"/>
    <col min="10252" max="10252" width="19.7109375" style="194" bestFit="1" customWidth="1"/>
    <col min="10253" max="10253" width="9.140625" style="194"/>
    <col min="10254" max="10254" width="11.28515625" style="194" bestFit="1" customWidth="1"/>
    <col min="10255" max="10496" width="9.140625" style="194"/>
    <col min="10497" max="10497" width="3.85546875" style="194" customWidth="1"/>
    <col min="10498" max="10498" width="9.140625" style="194"/>
    <col min="10499" max="10499" width="47.28515625" style="194" customWidth="1"/>
    <col min="10500" max="10500" width="8.7109375" style="194" customWidth="1"/>
    <col min="10501" max="10501" width="19.42578125" style="194" customWidth="1"/>
    <col min="10502" max="10502" width="1.7109375" style="194" customWidth="1"/>
    <col min="10503" max="10503" width="0" style="194" hidden="1" customWidth="1"/>
    <col min="10504" max="10504" width="21.140625" style="194" customWidth="1"/>
    <col min="10505" max="10505" width="0" style="194" hidden="1" customWidth="1"/>
    <col min="10506" max="10507" width="9.140625" style="194"/>
    <col min="10508" max="10508" width="19.7109375" style="194" bestFit="1" customWidth="1"/>
    <col min="10509" max="10509" width="9.140625" style="194"/>
    <col min="10510" max="10510" width="11.28515625" style="194" bestFit="1" customWidth="1"/>
    <col min="10511" max="10752" width="9.140625" style="194"/>
    <col min="10753" max="10753" width="3.85546875" style="194" customWidth="1"/>
    <col min="10754" max="10754" width="9.140625" style="194"/>
    <col min="10755" max="10755" width="47.28515625" style="194" customWidth="1"/>
    <col min="10756" max="10756" width="8.7109375" style="194" customWidth="1"/>
    <col min="10757" max="10757" width="19.42578125" style="194" customWidth="1"/>
    <col min="10758" max="10758" width="1.7109375" style="194" customWidth="1"/>
    <col min="10759" max="10759" width="0" style="194" hidden="1" customWidth="1"/>
    <col min="10760" max="10760" width="21.140625" style="194" customWidth="1"/>
    <col min="10761" max="10761" width="0" style="194" hidden="1" customWidth="1"/>
    <col min="10762" max="10763" width="9.140625" style="194"/>
    <col min="10764" max="10764" width="19.7109375" style="194" bestFit="1" customWidth="1"/>
    <col min="10765" max="10765" width="9.140625" style="194"/>
    <col min="10766" max="10766" width="11.28515625" style="194" bestFit="1" customWidth="1"/>
    <col min="10767" max="11008" width="9.140625" style="194"/>
    <col min="11009" max="11009" width="3.85546875" style="194" customWidth="1"/>
    <col min="11010" max="11010" width="9.140625" style="194"/>
    <col min="11011" max="11011" width="47.28515625" style="194" customWidth="1"/>
    <col min="11012" max="11012" width="8.7109375" style="194" customWidth="1"/>
    <col min="11013" max="11013" width="19.42578125" style="194" customWidth="1"/>
    <col min="11014" max="11014" width="1.7109375" style="194" customWidth="1"/>
    <col min="11015" max="11015" width="0" style="194" hidden="1" customWidth="1"/>
    <col min="11016" max="11016" width="21.140625" style="194" customWidth="1"/>
    <col min="11017" max="11017" width="0" style="194" hidden="1" customWidth="1"/>
    <col min="11018" max="11019" width="9.140625" style="194"/>
    <col min="11020" max="11020" width="19.7109375" style="194" bestFit="1" customWidth="1"/>
    <col min="11021" max="11021" width="9.140625" style="194"/>
    <col min="11022" max="11022" width="11.28515625" style="194" bestFit="1" customWidth="1"/>
    <col min="11023" max="11264" width="9.140625" style="194"/>
    <col min="11265" max="11265" width="3.85546875" style="194" customWidth="1"/>
    <col min="11266" max="11266" width="9.140625" style="194"/>
    <col min="11267" max="11267" width="47.28515625" style="194" customWidth="1"/>
    <col min="11268" max="11268" width="8.7109375" style="194" customWidth="1"/>
    <col min="11269" max="11269" width="19.42578125" style="194" customWidth="1"/>
    <col min="11270" max="11270" width="1.7109375" style="194" customWidth="1"/>
    <col min="11271" max="11271" width="0" style="194" hidden="1" customWidth="1"/>
    <col min="11272" max="11272" width="21.140625" style="194" customWidth="1"/>
    <col min="11273" max="11273" width="0" style="194" hidden="1" customWidth="1"/>
    <col min="11274" max="11275" width="9.140625" style="194"/>
    <col min="11276" max="11276" width="19.7109375" style="194" bestFit="1" customWidth="1"/>
    <col min="11277" max="11277" width="9.140625" style="194"/>
    <col min="11278" max="11278" width="11.28515625" style="194" bestFit="1" customWidth="1"/>
    <col min="11279" max="11520" width="9.140625" style="194"/>
    <col min="11521" max="11521" width="3.85546875" style="194" customWidth="1"/>
    <col min="11522" max="11522" width="9.140625" style="194"/>
    <col min="11523" max="11523" width="47.28515625" style="194" customWidth="1"/>
    <col min="11524" max="11524" width="8.7109375" style="194" customWidth="1"/>
    <col min="11525" max="11525" width="19.42578125" style="194" customWidth="1"/>
    <col min="11526" max="11526" width="1.7109375" style="194" customWidth="1"/>
    <col min="11527" max="11527" width="0" style="194" hidden="1" customWidth="1"/>
    <col min="11528" max="11528" width="21.140625" style="194" customWidth="1"/>
    <col min="11529" max="11529" width="0" style="194" hidden="1" customWidth="1"/>
    <col min="11530" max="11531" width="9.140625" style="194"/>
    <col min="11532" max="11532" width="19.7109375" style="194" bestFit="1" customWidth="1"/>
    <col min="11533" max="11533" width="9.140625" style="194"/>
    <col min="11534" max="11534" width="11.28515625" style="194" bestFit="1" customWidth="1"/>
    <col min="11535" max="11776" width="9.140625" style="194"/>
    <col min="11777" max="11777" width="3.85546875" style="194" customWidth="1"/>
    <col min="11778" max="11778" width="9.140625" style="194"/>
    <col min="11779" max="11779" width="47.28515625" style="194" customWidth="1"/>
    <col min="11780" max="11780" width="8.7109375" style="194" customWidth="1"/>
    <col min="11781" max="11781" width="19.42578125" style="194" customWidth="1"/>
    <col min="11782" max="11782" width="1.7109375" style="194" customWidth="1"/>
    <col min="11783" max="11783" width="0" style="194" hidden="1" customWidth="1"/>
    <col min="11784" max="11784" width="21.140625" style="194" customWidth="1"/>
    <col min="11785" max="11785" width="0" style="194" hidden="1" customWidth="1"/>
    <col min="11786" max="11787" width="9.140625" style="194"/>
    <col min="11788" max="11788" width="19.7109375" style="194" bestFit="1" customWidth="1"/>
    <col min="11789" max="11789" width="9.140625" style="194"/>
    <col min="11790" max="11790" width="11.28515625" style="194" bestFit="1" customWidth="1"/>
    <col min="11791" max="12032" width="9.140625" style="194"/>
    <col min="12033" max="12033" width="3.85546875" style="194" customWidth="1"/>
    <col min="12034" max="12034" width="9.140625" style="194"/>
    <col min="12035" max="12035" width="47.28515625" style="194" customWidth="1"/>
    <col min="12036" max="12036" width="8.7109375" style="194" customWidth="1"/>
    <col min="12037" max="12037" width="19.42578125" style="194" customWidth="1"/>
    <col min="12038" max="12038" width="1.7109375" style="194" customWidth="1"/>
    <col min="12039" max="12039" width="0" style="194" hidden="1" customWidth="1"/>
    <col min="12040" max="12040" width="21.140625" style="194" customWidth="1"/>
    <col min="12041" max="12041" width="0" style="194" hidden="1" customWidth="1"/>
    <col min="12042" max="12043" width="9.140625" style="194"/>
    <col min="12044" max="12044" width="19.7109375" style="194" bestFit="1" customWidth="1"/>
    <col min="12045" max="12045" width="9.140625" style="194"/>
    <col min="12046" max="12046" width="11.28515625" style="194" bestFit="1" customWidth="1"/>
    <col min="12047" max="12288" width="9.140625" style="194"/>
    <col min="12289" max="12289" width="3.85546875" style="194" customWidth="1"/>
    <col min="12290" max="12290" width="9.140625" style="194"/>
    <col min="12291" max="12291" width="47.28515625" style="194" customWidth="1"/>
    <col min="12292" max="12292" width="8.7109375" style="194" customWidth="1"/>
    <col min="12293" max="12293" width="19.42578125" style="194" customWidth="1"/>
    <col min="12294" max="12294" width="1.7109375" style="194" customWidth="1"/>
    <col min="12295" max="12295" width="0" style="194" hidden="1" customWidth="1"/>
    <col min="12296" max="12296" width="21.140625" style="194" customWidth="1"/>
    <col min="12297" max="12297" width="0" style="194" hidden="1" customWidth="1"/>
    <col min="12298" max="12299" width="9.140625" style="194"/>
    <col min="12300" max="12300" width="19.7109375" style="194" bestFit="1" customWidth="1"/>
    <col min="12301" max="12301" width="9.140625" style="194"/>
    <col min="12302" max="12302" width="11.28515625" style="194" bestFit="1" customWidth="1"/>
    <col min="12303" max="12544" width="9.140625" style="194"/>
    <col min="12545" max="12545" width="3.85546875" style="194" customWidth="1"/>
    <col min="12546" max="12546" width="9.140625" style="194"/>
    <col min="12547" max="12547" width="47.28515625" style="194" customWidth="1"/>
    <col min="12548" max="12548" width="8.7109375" style="194" customWidth="1"/>
    <col min="12549" max="12549" width="19.42578125" style="194" customWidth="1"/>
    <col min="12550" max="12550" width="1.7109375" style="194" customWidth="1"/>
    <col min="12551" max="12551" width="0" style="194" hidden="1" customWidth="1"/>
    <col min="12552" max="12552" width="21.140625" style="194" customWidth="1"/>
    <col min="12553" max="12553" width="0" style="194" hidden="1" customWidth="1"/>
    <col min="12554" max="12555" width="9.140625" style="194"/>
    <col min="12556" max="12556" width="19.7109375" style="194" bestFit="1" customWidth="1"/>
    <col min="12557" max="12557" width="9.140625" style="194"/>
    <col min="12558" max="12558" width="11.28515625" style="194" bestFit="1" customWidth="1"/>
    <col min="12559" max="12800" width="9.140625" style="194"/>
    <col min="12801" max="12801" width="3.85546875" style="194" customWidth="1"/>
    <col min="12802" max="12802" width="9.140625" style="194"/>
    <col min="12803" max="12803" width="47.28515625" style="194" customWidth="1"/>
    <col min="12804" max="12804" width="8.7109375" style="194" customWidth="1"/>
    <col min="12805" max="12805" width="19.42578125" style="194" customWidth="1"/>
    <col min="12806" max="12806" width="1.7109375" style="194" customWidth="1"/>
    <col min="12807" max="12807" width="0" style="194" hidden="1" customWidth="1"/>
    <col min="12808" max="12808" width="21.140625" style="194" customWidth="1"/>
    <col min="12809" max="12809" width="0" style="194" hidden="1" customWidth="1"/>
    <col min="12810" max="12811" width="9.140625" style="194"/>
    <col min="12812" max="12812" width="19.7109375" style="194" bestFit="1" customWidth="1"/>
    <col min="12813" max="12813" width="9.140625" style="194"/>
    <col min="12814" max="12814" width="11.28515625" style="194" bestFit="1" customWidth="1"/>
    <col min="12815" max="13056" width="9.140625" style="194"/>
    <col min="13057" max="13057" width="3.85546875" style="194" customWidth="1"/>
    <col min="13058" max="13058" width="9.140625" style="194"/>
    <col min="13059" max="13059" width="47.28515625" style="194" customWidth="1"/>
    <col min="13060" max="13060" width="8.7109375" style="194" customWidth="1"/>
    <col min="13061" max="13061" width="19.42578125" style="194" customWidth="1"/>
    <col min="13062" max="13062" width="1.7109375" style="194" customWidth="1"/>
    <col min="13063" max="13063" width="0" style="194" hidden="1" customWidth="1"/>
    <col min="13064" max="13064" width="21.140625" style="194" customWidth="1"/>
    <col min="13065" max="13065" width="0" style="194" hidden="1" customWidth="1"/>
    <col min="13066" max="13067" width="9.140625" style="194"/>
    <col min="13068" max="13068" width="19.7109375" style="194" bestFit="1" customWidth="1"/>
    <col min="13069" max="13069" width="9.140625" style="194"/>
    <col min="13070" max="13070" width="11.28515625" style="194" bestFit="1" customWidth="1"/>
    <col min="13071" max="13312" width="9.140625" style="194"/>
    <col min="13313" max="13313" width="3.85546875" style="194" customWidth="1"/>
    <col min="13314" max="13314" width="9.140625" style="194"/>
    <col min="13315" max="13315" width="47.28515625" style="194" customWidth="1"/>
    <col min="13316" max="13316" width="8.7109375" style="194" customWidth="1"/>
    <col min="13317" max="13317" width="19.42578125" style="194" customWidth="1"/>
    <col min="13318" max="13318" width="1.7109375" style="194" customWidth="1"/>
    <col min="13319" max="13319" width="0" style="194" hidden="1" customWidth="1"/>
    <col min="13320" max="13320" width="21.140625" style="194" customWidth="1"/>
    <col min="13321" max="13321" width="0" style="194" hidden="1" customWidth="1"/>
    <col min="13322" max="13323" width="9.140625" style="194"/>
    <col min="13324" max="13324" width="19.7109375" style="194" bestFit="1" customWidth="1"/>
    <col min="13325" max="13325" width="9.140625" style="194"/>
    <col min="13326" max="13326" width="11.28515625" style="194" bestFit="1" customWidth="1"/>
    <col min="13327" max="13568" width="9.140625" style="194"/>
    <col min="13569" max="13569" width="3.85546875" style="194" customWidth="1"/>
    <col min="13570" max="13570" width="9.140625" style="194"/>
    <col min="13571" max="13571" width="47.28515625" style="194" customWidth="1"/>
    <col min="13572" max="13572" width="8.7109375" style="194" customWidth="1"/>
    <col min="13573" max="13573" width="19.42578125" style="194" customWidth="1"/>
    <col min="13574" max="13574" width="1.7109375" style="194" customWidth="1"/>
    <col min="13575" max="13575" width="0" style="194" hidden="1" customWidth="1"/>
    <col min="13576" max="13576" width="21.140625" style="194" customWidth="1"/>
    <col min="13577" max="13577" width="0" style="194" hidden="1" customWidth="1"/>
    <col min="13578" max="13579" width="9.140625" style="194"/>
    <col min="13580" max="13580" width="19.7109375" style="194" bestFit="1" customWidth="1"/>
    <col min="13581" max="13581" width="9.140625" style="194"/>
    <col min="13582" max="13582" width="11.28515625" style="194" bestFit="1" customWidth="1"/>
    <col min="13583" max="13824" width="9.140625" style="194"/>
    <col min="13825" max="13825" width="3.85546875" style="194" customWidth="1"/>
    <col min="13826" max="13826" width="9.140625" style="194"/>
    <col min="13827" max="13827" width="47.28515625" style="194" customWidth="1"/>
    <col min="13828" max="13828" width="8.7109375" style="194" customWidth="1"/>
    <col min="13829" max="13829" width="19.42578125" style="194" customWidth="1"/>
    <col min="13830" max="13830" width="1.7109375" style="194" customWidth="1"/>
    <col min="13831" max="13831" width="0" style="194" hidden="1" customWidth="1"/>
    <col min="13832" max="13832" width="21.140625" style="194" customWidth="1"/>
    <col min="13833" max="13833" width="0" style="194" hidden="1" customWidth="1"/>
    <col min="13834" max="13835" width="9.140625" style="194"/>
    <col min="13836" max="13836" width="19.7109375" style="194" bestFit="1" customWidth="1"/>
    <col min="13837" max="13837" width="9.140625" style="194"/>
    <col min="13838" max="13838" width="11.28515625" style="194" bestFit="1" customWidth="1"/>
    <col min="13839" max="14080" width="9.140625" style="194"/>
    <col min="14081" max="14081" width="3.85546875" style="194" customWidth="1"/>
    <col min="14082" max="14082" width="9.140625" style="194"/>
    <col min="14083" max="14083" width="47.28515625" style="194" customWidth="1"/>
    <col min="14084" max="14084" width="8.7109375" style="194" customWidth="1"/>
    <col min="14085" max="14085" width="19.42578125" style="194" customWidth="1"/>
    <col min="14086" max="14086" width="1.7109375" style="194" customWidth="1"/>
    <col min="14087" max="14087" width="0" style="194" hidden="1" customWidth="1"/>
    <col min="14088" max="14088" width="21.140625" style="194" customWidth="1"/>
    <col min="14089" max="14089" width="0" style="194" hidden="1" customWidth="1"/>
    <col min="14090" max="14091" width="9.140625" style="194"/>
    <col min="14092" max="14092" width="19.7109375" style="194" bestFit="1" customWidth="1"/>
    <col min="14093" max="14093" width="9.140625" style="194"/>
    <col min="14094" max="14094" width="11.28515625" style="194" bestFit="1" customWidth="1"/>
    <col min="14095" max="14336" width="9.140625" style="194"/>
    <col min="14337" max="14337" width="3.85546875" style="194" customWidth="1"/>
    <col min="14338" max="14338" width="9.140625" style="194"/>
    <col min="14339" max="14339" width="47.28515625" style="194" customWidth="1"/>
    <col min="14340" max="14340" width="8.7109375" style="194" customWidth="1"/>
    <col min="14341" max="14341" width="19.42578125" style="194" customWidth="1"/>
    <col min="14342" max="14342" width="1.7109375" style="194" customWidth="1"/>
    <col min="14343" max="14343" width="0" style="194" hidden="1" customWidth="1"/>
    <col min="14344" max="14344" width="21.140625" style="194" customWidth="1"/>
    <col min="14345" max="14345" width="0" style="194" hidden="1" customWidth="1"/>
    <col min="14346" max="14347" width="9.140625" style="194"/>
    <col min="14348" max="14348" width="19.7109375" style="194" bestFit="1" customWidth="1"/>
    <col min="14349" max="14349" width="9.140625" style="194"/>
    <col min="14350" max="14350" width="11.28515625" style="194" bestFit="1" customWidth="1"/>
    <col min="14351" max="14592" width="9.140625" style="194"/>
    <col min="14593" max="14593" width="3.85546875" style="194" customWidth="1"/>
    <col min="14594" max="14594" width="9.140625" style="194"/>
    <col min="14595" max="14595" width="47.28515625" style="194" customWidth="1"/>
    <col min="14596" max="14596" width="8.7109375" style="194" customWidth="1"/>
    <col min="14597" max="14597" width="19.42578125" style="194" customWidth="1"/>
    <col min="14598" max="14598" width="1.7109375" style="194" customWidth="1"/>
    <col min="14599" max="14599" width="0" style="194" hidden="1" customWidth="1"/>
    <col min="14600" max="14600" width="21.140625" style="194" customWidth="1"/>
    <col min="14601" max="14601" width="0" style="194" hidden="1" customWidth="1"/>
    <col min="14602" max="14603" width="9.140625" style="194"/>
    <col min="14604" max="14604" width="19.7109375" style="194" bestFit="1" customWidth="1"/>
    <col min="14605" max="14605" width="9.140625" style="194"/>
    <col min="14606" max="14606" width="11.28515625" style="194" bestFit="1" customWidth="1"/>
    <col min="14607" max="14848" width="9.140625" style="194"/>
    <col min="14849" max="14849" width="3.85546875" style="194" customWidth="1"/>
    <col min="14850" max="14850" width="9.140625" style="194"/>
    <col min="14851" max="14851" width="47.28515625" style="194" customWidth="1"/>
    <col min="14852" max="14852" width="8.7109375" style="194" customWidth="1"/>
    <col min="14853" max="14853" width="19.42578125" style="194" customWidth="1"/>
    <col min="14854" max="14854" width="1.7109375" style="194" customWidth="1"/>
    <col min="14855" max="14855" width="0" style="194" hidden="1" customWidth="1"/>
    <col min="14856" max="14856" width="21.140625" style="194" customWidth="1"/>
    <col min="14857" max="14857" width="0" style="194" hidden="1" customWidth="1"/>
    <col min="14858" max="14859" width="9.140625" style="194"/>
    <col min="14860" max="14860" width="19.7109375" style="194" bestFit="1" customWidth="1"/>
    <col min="14861" max="14861" width="9.140625" style="194"/>
    <col min="14862" max="14862" width="11.28515625" style="194" bestFit="1" customWidth="1"/>
    <col min="14863" max="15104" width="9.140625" style="194"/>
    <col min="15105" max="15105" width="3.85546875" style="194" customWidth="1"/>
    <col min="15106" max="15106" width="9.140625" style="194"/>
    <col min="15107" max="15107" width="47.28515625" style="194" customWidth="1"/>
    <col min="15108" max="15108" width="8.7109375" style="194" customWidth="1"/>
    <col min="15109" max="15109" width="19.42578125" style="194" customWidth="1"/>
    <col min="15110" max="15110" width="1.7109375" style="194" customWidth="1"/>
    <col min="15111" max="15111" width="0" style="194" hidden="1" customWidth="1"/>
    <col min="15112" max="15112" width="21.140625" style="194" customWidth="1"/>
    <col min="15113" max="15113" width="0" style="194" hidden="1" customWidth="1"/>
    <col min="15114" max="15115" width="9.140625" style="194"/>
    <col min="15116" max="15116" width="19.7109375" style="194" bestFit="1" customWidth="1"/>
    <col min="15117" max="15117" width="9.140625" style="194"/>
    <col min="15118" max="15118" width="11.28515625" style="194" bestFit="1" customWidth="1"/>
    <col min="15119" max="15360" width="9.140625" style="194"/>
    <col min="15361" max="15361" width="3.85546875" style="194" customWidth="1"/>
    <col min="15362" max="15362" width="9.140625" style="194"/>
    <col min="15363" max="15363" width="47.28515625" style="194" customWidth="1"/>
    <col min="15364" max="15364" width="8.7109375" style="194" customWidth="1"/>
    <col min="15365" max="15365" width="19.42578125" style="194" customWidth="1"/>
    <col min="15366" max="15366" width="1.7109375" style="194" customWidth="1"/>
    <col min="15367" max="15367" width="0" style="194" hidden="1" customWidth="1"/>
    <col min="15368" max="15368" width="21.140625" style="194" customWidth="1"/>
    <col min="15369" max="15369" width="0" style="194" hidden="1" customWidth="1"/>
    <col min="15370" max="15371" width="9.140625" style="194"/>
    <col min="15372" max="15372" width="19.7109375" style="194" bestFit="1" customWidth="1"/>
    <col min="15373" max="15373" width="9.140625" style="194"/>
    <col min="15374" max="15374" width="11.28515625" style="194" bestFit="1" customWidth="1"/>
    <col min="15375" max="15616" width="9.140625" style="194"/>
    <col min="15617" max="15617" width="3.85546875" style="194" customWidth="1"/>
    <col min="15618" max="15618" width="9.140625" style="194"/>
    <col min="15619" max="15619" width="47.28515625" style="194" customWidth="1"/>
    <col min="15620" max="15620" width="8.7109375" style="194" customWidth="1"/>
    <col min="15621" max="15621" width="19.42578125" style="194" customWidth="1"/>
    <col min="15622" max="15622" width="1.7109375" style="194" customWidth="1"/>
    <col min="15623" max="15623" width="0" style="194" hidden="1" customWidth="1"/>
    <col min="15624" max="15624" width="21.140625" style="194" customWidth="1"/>
    <col min="15625" max="15625" width="0" style="194" hidden="1" customWidth="1"/>
    <col min="15626" max="15627" width="9.140625" style="194"/>
    <col min="15628" max="15628" width="19.7109375" style="194" bestFit="1" customWidth="1"/>
    <col min="15629" max="15629" width="9.140625" style="194"/>
    <col min="15630" max="15630" width="11.28515625" style="194" bestFit="1" customWidth="1"/>
    <col min="15631" max="15872" width="9.140625" style="194"/>
    <col min="15873" max="15873" width="3.85546875" style="194" customWidth="1"/>
    <col min="15874" max="15874" width="9.140625" style="194"/>
    <col min="15875" max="15875" width="47.28515625" style="194" customWidth="1"/>
    <col min="15876" max="15876" width="8.7109375" style="194" customWidth="1"/>
    <col min="15877" max="15877" width="19.42578125" style="194" customWidth="1"/>
    <col min="15878" max="15878" width="1.7109375" style="194" customWidth="1"/>
    <col min="15879" max="15879" width="0" style="194" hidden="1" customWidth="1"/>
    <col min="15880" max="15880" width="21.140625" style="194" customWidth="1"/>
    <col min="15881" max="15881" width="0" style="194" hidden="1" customWidth="1"/>
    <col min="15882" max="15883" width="9.140625" style="194"/>
    <col min="15884" max="15884" width="19.7109375" style="194" bestFit="1" customWidth="1"/>
    <col min="15885" max="15885" width="9.140625" style="194"/>
    <col min="15886" max="15886" width="11.28515625" style="194" bestFit="1" customWidth="1"/>
    <col min="15887" max="16128" width="9.140625" style="194"/>
    <col min="16129" max="16129" width="3.85546875" style="194" customWidth="1"/>
    <col min="16130" max="16130" width="9.140625" style="194"/>
    <col min="16131" max="16131" width="47.28515625" style="194" customWidth="1"/>
    <col min="16132" max="16132" width="8.7109375" style="194" customWidth="1"/>
    <col min="16133" max="16133" width="19.42578125" style="194" customWidth="1"/>
    <col min="16134" max="16134" width="1.7109375" style="194" customWidth="1"/>
    <col min="16135" max="16135" width="0" style="194" hidden="1" customWidth="1"/>
    <col min="16136" max="16136" width="21.140625" style="194" customWidth="1"/>
    <col min="16137" max="16137" width="0" style="194" hidden="1" customWidth="1"/>
    <col min="16138" max="16139" width="9.140625" style="194"/>
    <col min="16140" max="16140" width="19.7109375" style="194" bestFit="1" customWidth="1"/>
    <col min="16141" max="16141" width="9.140625" style="194"/>
    <col min="16142" max="16142" width="11.28515625" style="194" bestFit="1" customWidth="1"/>
    <col min="16143" max="16384" width="9.140625" style="194"/>
  </cols>
  <sheetData>
    <row r="1" spans="1:14" ht="15">
      <c r="A1" s="193" t="s">
        <v>197</v>
      </c>
      <c r="B1" s="193"/>
    </row>
    <row r="4" spans="1:14" ht="15">
      <c r="B4" s="440" t="s">
        <v>198</v>
      </c>
      <c r="C4" s="440"/>
      <c r="D4" s="440"/>
      <c r="E4" s="440"/>
      <c r="F4" s="440"/>
      <c r="G4" s="440"/>
      <c r="H4" s="440"/>
    </row>
    <row r="6" spans="1:14" ht="15">
      <c r="A6" s="199"/>
      <c r="B6" s="441" t="s">
        <v>177</v>
      </c>
      <c r="C6" s="441"/>
      <c r="D6" s="441"/>
      <c r="E6" s="441"/>
      <c r="F6" s="441"/>
      <c r="G6" s="441"/>
      <c r="H6" s="441"/>
    </row>
    <row r="7" spans="1:14" ht="15">
      <c r="B7" s="200"/>
      <c r="C7" s="200"/>
      <c r="D7" s="199"/>
      <c r="E7" s="201"/>
      <c r="F7" s="201"/>
      <c r="G7" s="201"/>
    </row>
    <row r="8" spans="1:14" ht="15">
      <c r="B8" s="200"/>
      <c r="C8" s="200"/>
      <c r="D8" s="199"/>
      <c r="E8" s="201"/>
      <c r="F8" s="201"/>
      <c r="G8" s="201"/>
    </row>
    <row r="9" spans="1:14">
      <c r="E9" s="442" t="s">
        <v>178</v>
      </c>
      <c r="F9" s="442"/>
      <c r="G9" s="442"/>
      <c r="H9" s="442"/>
    </row>
    <row r="10" spans="1:14" ht="15">
      <c r="D10" s="202" t="s">
        <v>46</v>
      </c>
      <c r="E10" s="203">
        <v>2012</v>
      </c>
      <c r="F10" s="204"/>
      <c r="G10" s="205">
        <v>2010</v>
      </c>
      <c r="H10" s="203">
        <v>2011</v>
      </c>
      <c r="L10" s="223" t="s">
        <v>267</v>
      </c>
    </row>
    <row r="11" spans="1:14" ht="15">
      <c r="D11" s="202"/>
      <c r="E11" s="206"/>
      <c r="F11" s="207"/>
      <c r="G11" s="206"/>
      <c r="L11" s="223">
        <v>2012</v>
      </c>
      <c r="N11" s="223">
        <v>2011</v>
      </c>
    </row>
    <row r="12" spans="1:14" ht="15">
      <c r="B12" s="439" t="s">
        <v>3</v>
      </c>
      <c r="C12" s="439"/>
    </row>
    <row r="13" spans="1:14" ht="6.75" customHeight="1">
      <c r="B13" s="208"/>
      <c r="C13" s="208"/>
    </row>
    <row r="14" spans="1:14" ht="15">
      <c r="B14" s="209" t="s">
        <v>199</v>
      </c>
      <c r="C14" s="208"/>
      <c r="E14" s="210"/>
    </row>
    <row r="15" spans="1:14" ht="6" customHeight="1">
      <c r="B15" s="209"/>
      <c r="C15" s="208"/>
      <c r="E15" s="210"/>
    </row>
    <row r="16" spans="1:14">
      <c r="C16" s="211" t="s">
        <v>200</v>
      </c>
      <c r="D16" s="195">
        <v>5</v>
      </c>
      <c r="E16" s="210">
        <f>'[7]Gjendja e llogarive 2012'!D40</f>
        <v>50.73</v>
      </c>
      <c r="H16" s="196">
        <v>131.41999999999999</v>
      </c>
      <c r="K16" s="212">
        <f>+E16*140</f>
        <v>7102.2</v>
      </c>
      <c r="L16" s="223">
        <f>+E16*140</f>
        <v>7102.2</v>
      </c>
      <c r="N16" s="223">
        <f>+H16*138.93</f>
        <v>18258.1806</v>
      </c>
    </row>
    <row r="17" spans="2:14" hidden="1">
      <c r="C17" s="194" t="s">
        <v>201</v>
      </c>
      <c r="E17" s="210"/>
      <c r="L17" s="223">
        <f t="shared" ref="L17:L80" si="0">+E17*140</f>
        <v>0</v>
      </c>
      <c r="N17" s="223">
        <f t="shared" ref="N17:N80" si="1">+H17*138.93</f>
        <v>0</v>
      </c>
    </row>
    <row r="18" spans="2:14" hidden="1">
      <c r="E18" s="210"/>
      <c r="L18" s="223">
        <f t="shared" si="0"/>
        <v>0</v>
      </c>
      <c r="N18" s="223">
        <f t="shared" si="1"/>
        <v>0</v>
      </c>
    </row>
    <row r="19" spans="2:14" hidden="1">
      <c r="E19" s="213"/>
      <c r="F19" s="197">
        <f>SUM(F16:F18)</f>
        <v>0</v>
      </c>
      <c r="G19" s="213">
        <f>SUM(G16:G18)</f>
        <v>0</v>
      </c>
      <c r="L19" s="223">
        <f t="shared" si="0"/>
        <v>0</v>
      </c>
      <c r="N19" s="223">
        <f t="shared" si="1"/>
        <v>0</v>
      </c>
    </row>
    <row r="20" spans="2:14" hidden="1">
      <c r="E20" s="210"/>
      <c r="L20" s="223">
        <f t="shared" si="0"/>
        <v>0</v>
      </c>
      <c r="N20" s="223">
        <f t="shared" si="1"/>
        <v>0</v>
      </c>
    </row>
    <row r="21" spans="2:14" hidden="1">
      <c r="C21" s="194" t="s">
        <v>202</v>
      </c>
      <c r="E21" s="210"/>
      <c r="L21" s="223">
        <f t="shared" si="0"/>
        <v>0</v>
      </c>
      <c r="N21" s="223">
        <f t="shared" si="1"/>
        <v>0</v>
      </c>
    </row>
    <row r="22" spans="2:14">
      <c r="C22" s="211" t="s">
        <v>203</v>
      </c>
      <c r="D22" s="195">
        <v>6</v>
      </c>
      <c r="E22" s="210">
        <f>'[7]Gjendja e llogarive 2012'!D30</f>
        <v>188873.57600000009</v>
      </c>
      <c r="H22" s="196">
        <v>176822.91</v>
      </c>
      <c r="I22" s="214">
        <f>H22-E22</f>
        <v>-12050.666000000085</v>
      </c>
      <c r="L22" s="223">
        <f t="shared" si="0"/>
        <v>26442300.640000012</v>
      </c>
      <c r="N22" s="223">
        <f t="shared" si="1"/>
        <v>24566006.886300001</v>
      </c>
    </row>
    <row r="23" spans="2:14">
      <c r="C23" s="211" t="s">
        <v>204</v>
      </c>
      <c r="D23" s="195">
        <v>7</v>
      </c>
      <c r="E23" s="210">
        <f>'[7]Gjendja e llogarive 2012'!D39</f>
        <v>474900.59</v>
      </c>
      <c r="H23" s="196">
        <v>227379.1</v>
      </c>
      <c r="I23" s="214">
        <f>H23-E23</f>
        <v>-247521.49000000002</v>
      </c>
      <c r="K23" s="198" t="s">
        <v>205</v>
      </c>
      <c r="L23" s="223">
        <f t="shared" si="0"/>
        <v>66486082.600000001</v>
      </c>
      <c r="N23" s="223">
        <f t="shared" si="1"/>
        <v>31589778.363000002</v>
      </c>
    </row>
    <row r="24" spans="2:14" ht="15" hidden="1">
      <c r="C24" s="215" t="s">
        <v>206</v>
      </c>
      <c r="E24" s="210"/>
      <c r="I24" s="214">
        <f>H24-E24</f>
        <v>0</v>
      </c>
      <c r="L24" s="223">
        <f t="shared" si="0"/>
        <v>0</v>
      </c>
      <c r="N24" s="223">
        <f t="shared" si="1"/>
        <v>0</v>
      </c>
    </row>
    <row r="25" spans="2:14" ht="15" hidden="1">
      <c r="C25" s="215" t="s">
        <v>207</v>
      </c>
      <c r="E25" s="210"/>
      <c r="I25" s="214">
        <f>H25-E25</f>
        <v>0</v>
      </c>
      <c r="L25" s="223">
        <f t="shared" si="0"/>
        <v>0</v>
      </c>
      <c r="N25" s="223">
        <f t="shared" si="1"/>
        <v>0</v>
      </c>
    </row>
    <row r="26" spans="2:14" hidden="1">
      <c r="B26" s="194" t="s">
        <v>208</v>
      </c>
      <c r="E26" s="210"/>
      <c r="I26" s="214">
        <f>H26-E26</f>
        <v>0</v>
      </c>
      <c r="L26" s="223">
        <f t="shared" si="0"/>
        <v>0</v>
      </c>
      <c r="N26" s="223">
        <f t="shared" si="1"/>
        <v>0</v>
      </c>
    </row>
    <row r="27" spans="2:14">
      <c r="C27" s="211" t="s">
        <v>209</v>
      </c>
      <c r="D27" s="195">
        <v>8</v>
      </c>
      <c r="E27" s="210">
        <f>'[7]Gjendja e llogarive 2012'!D10</f>
        <v>20724.41</v>
      </c>
      <c r="H27" s="196">
        <v>10694.59</v>
      </c>
      <c r="I27" s="214">
        <f>SUM(I22:I26)</f>
        <v>-259572.1560000001</v>
      </c>
      <c r="K27" s="212">
        <f>-(E27-H27)</f>
        <v>-10029.82</v>
      </c>
      <c r="L27" s="223">
        <f t="shared" si="0"/>
        <v>2901417.4</v>
      </c>
      <c r="N27" s="223">
        <f t="shared" si="1"/>
        <v>1485799.3887</v>
      </c>
    </row>
    <row r="28" spans="2:14" ht="15" hidden="1">
      <c r="C28" s="215" t="s">
        <v>210</v>
      </c>
      <c r="E28" s="210"/>
      <c r="L28" s="223">
        <f t="shared" si="0"/>
        <v>0</v>
      </c>
      <c r="N28" s="223">
        <f t="shared" si="1"/>
        <v>0</v>
      </c>
    </row>
    <row r="29" spans="2:14" ht="15" hidden="1">
      <c r="C29" s="215" t="s">
        <v>211</v>
      </c>
      <c r="E29" s="210"/>
      <c r="L29" s="223">
        <f t="shared" si="0"/>
        <v>0</v>
      </c>
      <c r="N29" s="223">
        <f t="shared" si="1"/>
        <v>0</v>
      </c>
    </row>
    <row r="30" spans="2:14" ht="15" hidden="1">
      <c r="C30" s="215" t="s">
        <v>212</v>
      </c>
      <c r="E30" s="210"/>
      <c r="L30" s="223">
        <f t="shared" si="0"/>
        <v>0</v>
      </c>
      <c r="N30" s="223">
        <f t="shared" si="1"/>
        <v>0</v>
      </c>
    </row>
    <row r="31" spans="2:14" ht="15" hidden="1">
      <c r="C31" s="215" t="s">
        <v>213</v>
      </c>
      <c r="E31" s="210"/>
      <c r="L31" s="223">
        <f t="shared" si="0"/>
        <v>0</v>
      </c>
      <c r="N31" s="223">
        <f t="shared" si="1"/>
        <v>0</v>
      </c>
    </row>
    <row r="32" spans="2:14" ht="15" hidden="1">
      <c r="C32" s="215"/>
      <c r="E32" s="213"/>
      <c r="G32" s="213"/>
      <c r="H32" s="213"/>
      <c r="L32" s="223">
        <f t="shared" si="0"/>
        <v>0</v>
      </c>
      <c r="N32" s="223">
        <f t="shared" si="1"/>
        <v>0</v>
      </c>
    </row>
    <row r="33" spans="2:14" hidden="1">
      <c r="B33" s="194" t="s">
        <v>214</v>
      </c>
      <c r="E33" s="210"/>
      <c r="L33" s="223">
        <f t="shared" si="0"/>
        <v>0</v>
      </c>
      <c r="N33" s="223">
        <f t="shared" si="1"/>
        <v>0</v>
      </c>
    </row>
    <row r="34" spans="2:14" hidden="1">
      <c r="B34" s="194" t="s">
        <v>215</v>
      </c>
      <c r="E34" s="210"/>
      <c r="L34" s="223">
        <f t="shared" si="0"/>
        <v>0</v>
      </c>
      <c r="N34" s="223">
        <f t="shared" si="1"/>
        <v>0</v>
      </c>
    </row>
    <row r="35" spans="2:14" hidden="1">
      <c r="B35" s="194" t="s">
        <v>216</v>
      </c>
      <c r="D35" s="195">
        <v>7</v>
      </c>
      <c r="E35" s="210">
        <v>0</v>
      </c>
      <c r="L35" s="223">
        <f t="shared" si="0"/>
        <v>0</v>
      </c>
      <c r="N35" s="223">
        <f t="shared" si="1"/>
        <v>0</v>
      </c>
    </row>
    <row r="36" spans="2:14" ht="15">
      <c r="B36" s="209" t="s">
        <v>217</v>
      </c>
      <c r="E36" s="216">
        <f>SUM(E16:E35)</f>
        <v>684549.30600000022</v>
      </c>
      <c r="G36" s="216" t="e">
        <f>G166+#REF!+G32+G35+G19</f>
        <v>#REF!</v>
      </c>
      <c r="H36" s="216">
        <f>SUM(H16:H35)</f>
        <v>415028.02000000008</v>
      </c>
      <c r="I36" s="214"/>
      <c r="L36" s="223">
        <f t="shared" si="0"/>
        <v>95836902.840000033</v>
      </c>
      <c r="N36" s="223">
        <f t="shared" si="1"/>
        <v>57659842.818600014</v>
      </c>
    </row>
    <row r="37" spans="2:14" ht="12.75" customHeight="1">
      <c r="B37" s="209"/>
      <c r="E37" s="210"/>
      <c r="I37" s="214">
        <f>H27-E27</f>
        <v>-10029.82</v>
      </c>
      <c r="L37" s="223">
        <f t="shared" si="0"/>
        <v>0</v>
      </c>
      <c r="N37" s="223">
        <f t="shared" si="1"/>
        <v>0</v>
      </c>
    </row>
    <row r="38" spans="2:14" ht="15" hidden="1">
      <c r="B38" s="209" t="s">
        <v>218</v>
      </c>
      <c r="E38" s="210"/>
      <c r="L38" s="223">
        <f t="shared" si="0"/>
        <v>0</v>
      </c>
      <c r="N38" s="223">
        <f t="shared" si="1"/>
        <v>0</v>
      </c>
    </row>
    <row r="39" spans="2:14" ht="9" hidden="1" customHeight="1">
      <c r="B39" s="209"/>
      <c r="E39" s="210"/>
      <c r="L39" s="223">
        <f t="shared" si="0"/>
        <v>0</v>
      </c>
      <c r="N39" s="223">
        <f t="shared" si="1"/>
        <v>0</v>
      </c>
    </row>
    <row r="40" spans="2:14" hidden="1">
      <c r="B40" s="194" t="s">
        <v>219</v>
      </c>
      <c r="E40" s="210"/>
      <c r="L40" s="223">
        <f t="shared" si="0"/>
        <v>0</v>
      </c>
      <c r="N40" s="223">
        <f t="shared" si="1"/>
        <v>0</v>
      </c>
    </row>
    <row r="41" spans="2:14" ht="15" hidden="1">
      <c r="C41" s="215" t="s">
        <v>220</v>
      </c>
      <c r="E41" s="210"/>
      <c r="L41" s="223">
        <f t="shared" si="0"/>
        <v>0</v>
      </c>
      <c r="N41" s="223">
        <f t="shared" si="1"/>
        <v>0</v>
      </c>
    </row>
    <row r="42" spans="2:14" ht="15" hidden="1">
      <c r="C42" s="215" t="s">
        <v>221</v>
      </c>
      <c r="E42" s="210"/>
      <c r="L42" s="223">
        <f t="shared" si="0"/>
        <v>0</v>
      </c>
      <c r="N42" s="223">
        <f t="shared" si="1"/>
        <v>0</v>
      </c>
    </row>
    <row r="43" spans="2:14" ht="15" hidden="1">
      <c r="C43" s="215" t="s">
        <v>222</v>
      </c>
      <c r="E43" s="210"/>
      <c r="L43" s="223">
        <f t="shared" si="0"/>
        <v>0</v>
      </c>
      <c r="N43" s="223">
        <f t="shared" si="1"/>
        <v>0</v>
      </c>
    </row>
    <row r="44" spans="2:14" ht="15" hidden="1">
      <c r="C44" s="215" t="s">
        <v>223</v>
      </c>
      <c r="E44" s="210"/>
      <c r="L44" s="223">
        <f t="shared" si="0"/>
        <v>0</v>
      </c>
      <c r="N44" s="223">
        <f t="shared" si="1"/>
        <v>0</v>
      </c>
    </row>
    <row r="45" spans="2:14" ht="15" hidden="1">
      <c r="C45" s="215"/>
      <c r="E45" s="213"/>
      <c r="G45" s="217"/>
      <c r="L45" s="223">
        <f t="shared" si="0"/>
        <v>0</v>
      </c>
      <c r="N45" s="223">
        <f t="shared" si="1"/>
        <v>0</v>
      </c>
    </row>
    <row r="46" spans="2:14" hidden="1">
      <c r="B46" s="194" t="s">
        <v>224</v>
      </c>
      <c r="E46" s="210"/>
      <c r="L46" s="223">
        <f t="shared" si="0"/>
        <v>0</v>
      </c>
      <c r="N46" s="223">
        <f t="shared" si="1"/>
        <v>0</v>
      </c>
    </row>
    <row r="47" spans="2:14" ht="15" hidden="1">
      <c r="C47" s="215" t="s">
        <v>225</v>
      </c>
      <c r="E47" s="210">
        <v>0</v>
      </c>
      <c r="L47" s="223">
        <f t="shared" si="0"/>
        <v>0</v>
      </c>
      <c r="N47" s="223">
        <f t="shared" si="1"/>
        <v>0</v>
      </c>
    </row>
    <row r="48" spans="2:14" ht="15" hidden="1">
      <c r="C48" s="215" t="s">
        <v>226</v>
      </c>
      <c r="E48" s="210">
        <v>0</v>
      </c>
      <c r="L48" s="223">
        <f t="shared" si="0"/>
        <v>0</v>
      </c>
      <c r="N48" s="223">
        <f t="shared" si="1"/>
        <v>0</v>
      </c>
    </row>
    <row r="49" spans="2:14" ht="15" hidden="1">
      <c r="C49" s="215" t="s">
        <v>227</v>
      </c>
      <c r="E49" s="218">
        <v>0</v>
      </c>
      <c r="G49" s="197"/>
      <c r="L49" s="223">
        <f t="shared" si="0"/>
        <v>0</v>
      </c>
      <c r="N49" s="223">
        <f t="shared" si="1"/>
        <v>0</v>
      </c>
    </row>
    <row r="50" spans="2:14" ht="15" hidden="1">
      <c r="C50" s="215" t="s">
        <v>228</v>
      </c>
      <c r="E50" s="219">
        <v>0</v>
      </c>
      <c r="G50" s="220"/>
      <c r="L50" s="223">
        <f t="shared" si="0"/>
        <v>0</v>
      </c>
      <c r="N50" s="223">
        <f t="shared" si="1"/>
        <v>0</v>
      </c>
    </row>
    <row r="51" spans="2:14" ht="15" hidden="1">
      <c r="C51" s="215"/>
      <c r="E51" s="213">
        <f>E50</f>
        <v>0</v>
      </c>
      <c r="G51" s="213">
        <f>G50</f>
        <v>0</v>
      </c>
      <c r="H51" s="213">
        <f>H50</f>
        <v>0</v>
      </c>
      <c r="L51" s="223">
        <f t="shared" si="0"/>
        <v>0</v>
      </c>
      <c r="N51" s="223">
        <f t="shared" si="1"/>
        <v>0</v>
      </c>
    </row>
    <row r="52" spans="2:14" ht="9.75" hidden="1" customHeight="1">
      <c r="C52" s="215"/>
      <c r="E52" s="210"/>
      <c r="L52" s="223">
        <f t="shared" si="0"/>
        <v>0</v>
      </c>
      <c r="N52" s="223">
        <f t="shared" si="1"/>
        <v>0</v>
      </c>
    </row>
    <row r="53" spans="2:14" hidden="1">
      <c r="B53" s="194" t="s">
        <v>229</v>
      </c>
      <c r="E53" s="210"/>
      <c r="L53" s="223">
        <f t="shared" si="0"/>
        <v>0</v>
      </c>
      <c r="N53" s="223">
        <f t="shared" si="1"/>
        <v>0</v>
      </c>
    </row>
    <row r="54" spans="2:14" ht="15" hidden="1">
      <c r="C54" s="215" t="s">
        <v>230</v>
      </c>
      <c r="E54" s="210"/>
      <c r="L54" s="223">
        <f t="shared" si="0"/>
        <v>0</v>
      </c>
      <c r="N54" s="223">
        <f t="shared" si="1"/>
        <v>0</v>
      </c>
    </row>
    <row r="55" spans="2:14" ht="15" hidden="1">
      <c r="C55" s="215" t="s">
        <v>231</v>
      </c>
      <c r="E55" s="210"/>
      <c r="L55" s="223">
        <f t="shared" si="0"/>
        <v>0</v>
      </c>
      <c r="N55" s="223">
        <f t="shared" si="1"/>
        <v>0</v>
      </c>
    </row>
    <row r="56" spans="2:14" ht="15" hidden="1">
      <c r="C56" s="215" t="s">
        <v>232</v>
      </c>
      <c r="E56" s="210"/>
      <c r="L56" s="223">
        <f t="shared" si="0"/>
        <v>0</v>
      </c>
      <c r="N56" s="223">
        <f t="shared" si="1"/>
        <v>0</v>
      </c>
    </row>
    <row r="57" spans="2:14" ht="15" hidden="1">
      <c r="C57" s="215"/>
      <c r="E57" s="213"/>
      <c r="G57" s="217"/>
      <c r="L57" s="223">
        <f t="shared" si="0"/>
        <v>0</v>
      </c>
      <c r="N57" s="223">
        <f t="shared" si="1"/>
        <v>0</v>
      </c>
    </row>
    <row r="58" spans="2:14" hidden="1">
      <c r="B58" s="194" t="s">
        <v>233</v>
      </c>
      <c r="E58" s="210"/>
      <c r="L58" s="223">
        <f t="shared" si="0"/>
        <v>0</v>
      </c>
      <c r="N58" s="223">
        <f t="shared" si="1"/>
        <v>0</v>
      </c>
    </row>
    <row r="59" spans="2:14" hidden="1">
      <c r="B59" s="194" t="s">
        <v>234</v>
      </c>
      <c r="E59" s="210"/>
      <c r="L59" s="223">
        <f t="shared" si="0"/>
        <v>0</v>
      </c>
      <c r="N59" s="223">
        <f t="shared" si="1"/>
        <v>0</v>
      </c>
    </row>
    <row r="60" spans="2:14" ht="15">
      <c r="B60" s="209" t="s">
        <v>235</v>
      </c>
      <c r="E60" s="216">
        <f>E51</f>
        <v>0</v>
      </c>
      <c r="G60" s="216">
        <f>G51</f>
        <v>0</v>
      </c>
      <c r="H60" s="216">
        <f>H51</f>
        <v>0</v>
      </c>
      <c r="L60" s="223">
        <f t="shared" si="0"/>
        <v>0</v>
      </c>
      <c r="N60" s="223">
        <f t="shared" si="1"/>
        <v>0</v>
      </c>
    </row>
    <row r="61" spans="2:14" ht="6" customHeight="1">
      <c r="B61" s="209"/>
      <c r="E61" s="210"/>
      <c r="L61" s="223">
        <f t="shared" si="0"/>
        <v>0</v>
      </c>
      <c r="N61" s="223">
        <f t="shared" si="1"/>
        <v>0</v>
      </c>
    </row>
    <row r="62" spans="2:14" ht="15.75" thickBot="1">
      <c r="B62" s="439" t="s">
        <v>236</v>
      </c>
      <c r="C62" s="439"/>
      <c r="E62" s="221">
        <f>E36+E60</f>
        <v>684549.30600000022</v>
      </c>
      <c r="G62" s="221" t="e">
        <f>G36+G60+0.52</f>
        <v>#REF!</v>
      </c>
      <c r="H62" s="221">
        <f>H36+H60</f>
        <v>415028.02000000008</v>
      </c>
      <c r="L62" s="223">
        <f t="shared" si="0"/>
        <v>95836902.840000033</v>
      </c>
      <c r="N62" s="223">
        <f t="shared" si="1"/>
        <v>57659842.818600014</v>
      </c>
    </row>
    <row r="63" spans="2:14" ht="12.75" customHeight="1" thickTop="1">
      <c r="E63" s="210"/>
      <c r="L63" s="223">
        <f t="shared" si="0"/>
        <v>0</v>
      </c>
      <c r="N63" s="223">
        <f t="shared" si="1"/>
        <v>0</v>
      </c>
    </row>
    <row r="64" spans="2:14">
      <c r="E64" s="210"/>
      <c r="L64" s="223">
        <f t="shared" si="0"/>
        <v>0</v>
      </c>
      <c r="N64" s="223">
        <f t="shared" si="1"/>
        <v>0</v>
      </c>
    </row>
    <row r="65" spans="2:14" ht="15">
      <c r="B65" s="439" t="s">
        <v>45</v>
      </c>
      <c r="C65" s="439"/>
      <c r="E65" s="210"/>
      <c r="L65" s="223">
        <f t="shared" si="0"/>
        <v>0</v>
      </c>
      <c r="N65" s="223">
        <f t="shared" si="1"/>
        <v>0</v>
      </c>
    </row>
    <row r="66" spans="2:14" ht="6" customHeight="1">
      <c r="E66" s="210"/>
      <c r="L66" s="223">
        <f t="shared" si="0"/>
        <v>0</v>
      </c>
      <c r="N66" s="223">
        <f t="shared" si="1"/>
        <v>0</v>
      </c>
    </row>
    <row r="67" spans="2:14" hidden="1">
      <c r="B67" s="194" t="s">
        <v>237</v>
      </c>
      <c r="E67" s="210"/>
      <c r="L67" s="223">
        <f t="shared" si="0"/>
        <v>0</v>
      </c>
      <c r="N67" s="223">
        <f t="shared" si="1"/>
        <v>0</v>
      </c>
    </row>
    <row r="68" spans="2:14" ht="15" hidden="1">
      <c r="C68" s="215" t="s">
        <v>238</v>
      </c>
      <c r="E68" s="210"/>
      <c r="L68" s="223">
        <f t="shared" si="0"/>
        <v>0</v>
      </c>
      <c r="N68" s="223">
        <f t="shared" si="1"/>
        <v>0</v>
      </c>
    </row>
    <row r="69" spans="2:14" ht="15" hidden="1">
      <c r="C69" s="215" t="s">
        <v>239</v>
      </c>
      <c r="E69" s="210"/>
      <c r="L69" s="223">
        <f t="shared" si="0"/>
        <v>0</v>
      </c>
      <c r="N69" s="223">
        <f t="shared" si="1"/>
        <v>0</v>
      </c>
    </row>
    <row r="70" spans="2:14" ht="15" hidden="1">
      <c r="C70" s="215" t="s">
        <v>240</v>
      </c>
      <c r="E70" s="210"/>
      <c r="L70" s="223">
        <f t="shared" si="0"/>
        <v>0</v>
      </c>
      <c r="N70" s="223">
        <f t="shared" si="1"/>
        <v>0</v>
      </c>
    </row>
    <row r="71" spans="2:14" ht="15" hidden="1">
      <c r="C71" s="215"/>
      <c r="E71" s="213"/>
      <c r="G71" s="217"/>
      <c r="L71" s="223">
        <f t="shared" si="0"/>
        <v>0</v>
      </c>
      <c r="N71" s="223">
        <f t="shared" si="1"/>
        <v>0</v>
      </c>
    </row>
    <row r="72" spans="2:14">
      <c r="B72" s="194" t="s">
        <v>241</v>
      </c>
      <c r="E72" s="210"/>
      <c r="L72" s="223">
        <f t="shared" si="0"/>
        <v>0</v>
      </c>
      <c r="N72" s="223">
        <f t="shared" si="1"/>
        <v>0</v>
      </c>
    </row>
    <row r="73" spans="2:14" ht="16.5" customHeight="1">
      <c r="C73" s="211" t="s">
        <v>242</v>
      </c>
      <c r="D73" s="195">
        <v>9</v>
      </c>
      <c r="E73" s="210">
        <f>'[7]Gjendja e llogarive 2012'!E11+'[7]Gjendja e llogarive 2012'!E12+'[7]Gjendja e llogarive 2012'!E13+'[7]Gjendja e llogarive 2012'!E15</f>
        <v>80080.800000000003</v>
      </c>
      <c r="H73" s="196">
        <v>76092</v>
      </c>
      <c r="I73" s="214">
        <f>E73-H73</f>
        <v>3988.8000000000029</v>
      </c>
      <c r="L73" s="223">
        <f t="shared" si="0"/>
        <v>11211312</v>
      </c>
      <c r="N73" s="223">
        <f t="shared" si="1"/>
        <v>10571461.560000001</v>
      </c>
    </row>
    <row r="74" spans="2:14" hidden="1">
      <c r="C74" s="211" t="s">
        <v>243</v>
      </c>
      <c r="E74" s="210">
        <v>0</v>
      </c>
      <c r="H74" s="196">
        <v>0</v>
      </c>
      <c r="I74" s="214">
        <f>E74-H74</f>
        <v>0</v>
      </c>
      <c r="L74" s="223">
        <f t="shared" si="0"/>
        <v>0</v>
      </c>
      <c r="N74" s="223">
        <f t="shared" si="1"/>
        <v>0</v>
      </c>
    </row>
    <row r="75" spans="2:14" ht="15.75" customHeight="1">
      <c r="C75" s="211" t="s">
        <v>244</v>
      </c>
      <c r="D75" s="195">
        <v>10</v>
      </c>
      <c r="E75" s="210">
        <f>'[7]Gjendja e llogarive 2012'!E32+'[7]Gjendja e llogarive 2012'!E33+'[7]Gjendja e llogarive 2012'!E35</f>
        <v>66397.91</v>
      </c>
      <c r="H75" s="210">
        <v>53926.73</v>
      </c>
      <c r="I75" s="214">
        <f>E75-H75</f>
        <v>12471.18</v>
      </c>
      <c r="L75" s="223">
        <f t="shared" si="0"/>
        <v>9295707.4000000004</v>
      </c>
      <c r="N75" s="223">
        <f t="shared" si="1"/>
        <v>7492040.5989000006</v>
      </c>
    </row>
    <row r="76" spans="2:14" ht="0.75" hidden="1" customHeight="1">
      <c r="C76" s="211" t="s">
        <v>245</v>
      </c>
      <c r="E76" s="210">
        <v>0</v>
      </c>
      <c r="H76" s="196">
        <v>0</v>
      </c>
      <c r="L76" s="223">
        <f t="shared" si="0"/>
        <v>0</v>
      </c>
      <c r="N76" s="223">
        <f t="shared" si="1"/>
        <v>0</v>
      </c>
    </row>
    <row r="77" spans="2:14" ht="15" hidden="1">
      <c r="C77" s="215" t="s">
        <v>246</v>
      </c>
      <c r="E77" s="210">
        <v>0</v>
      </c>
      <c r="H77" s="210">
        <v>0</v>
      </c>
      <c r="L77" s="223">
        <f t="shared" si="0"/>
        <v>0</v>
      </c>
      <c r="N77" s="223">
        <f t="shared" si="1"/>
        <v>0</v>
      </c>
    </row>
    <row r="78" spans="2:14" hidden="1">
      <c r="B78" s="194" t="s">
        <v>247</v>
      </c>
      <c r="E78" s="210"/>
      <c r="L78" s="223">
        <f t="shared" si="0"/>
        <v>0</v>
      </c>
      <c r="N78" s="223">
        <f t="shared" si="1"/>
        <v>0</v>
      </c>
    </row>
    <row r="79" spans="2:14" ht="15">
      <c r="B79" s="209" t="s">
        <v>248</v>
      </c>
      <c r="E79" s="216">
        <f>SUM(E73:E78)</f>
        <v>146478.71000000002</v>
      </c>
      <c r="G79" s="216" t="e">
        <f>#REF!</f>
        <v>#REF!</v>
      </c>
      <c r="H79" s="216">
        <f>SUM(H73:H78)</f>
        <v>130018.73000000001</v>
      </c>
      <c r="I79" s="214">
        <f>E79-H79</f>
        <v>16459.98000000001</v>
      </c>
      <c r="L79" s="223">
        <f t="shared" si="0"/>
        <v>20507019.400000002</v>
      </c>
      <c r="N79" s="223">
        <f t="shared" si="1"/>
        <v>18063502.158900004</v>
      </c>
    </row>
    <row r="80" spans="2:14" ht="12.75" customHeight="1">
      <c r="E80" s="210"/>
      <c r="L80" s="223">
        <f t="shared" si="0"/>
        <v>0</v>
      </c>
      <c r="N80" s="223">
        <f t="shared" si="1"/>
        <v>0</v>
      </c>
    </row>
    <row r="81" spans="2:14" hidden="1">
      <c r="B81" s="194" t="s">
        <v>249</v>
      </c>
      <c r="E81" s="210"/>
      <c r="L81" s="223">
        <f t="shared" ref="L81:L104" si="2">+E81*140</f>
        <v>0</v>
      </c>
      <c r="N81" s="223">
        <f t="shared" ref="N81:N104" si="3">+H81*138.93</f>
        <v>0</v>
      </c>
    </row>
    <row r="82" spans="2:14" ht="15" hidden="1">
      <c r="C82" s="215" t="s">
        <v>250</v>
      </c>
      <c r="E82" s="210"/>
      <c r="L82" s="223">
        <f t="shared" si="2"/>
        <v>0</v>
      </c>
      <c r="N82" s="223">
        <f t="shared" si="3"/>
        <v>0</v>
      </c>
    </row>
    <row r="83" spans="2:14" ht="15" hidden="1">
      <c r="C83" s="215" t="s">
        <v>240</v>
      </c>
      <c r="E83" s="210"/>
      <c r="L83" s="223">
        <f t="shared" si="2"/>
        <v>0</v>
      </c>
      <c r="N83" s="223">
        <f t="shared" si="3"/>
        <v>0</v>
      </c>
    </row>
    <row r="84" spans="2:14" ht="15" hidden="1">
      <c r="C84" s="215"/>
      <c r="E84" s="213"/>
      <c r="G84" s="217"/>
      <c r="L84" s="223">
        <f t="shared" si="2"/>
        <v>0</v>
      </c>
      <c r="N84" s="223">
        <f t="shared" si="3"/>
        <v>0</v>
      </c>
    </row>
    <row r="85" spans="2:14" hidden="1">
      <c r="B85" s="194" t="s">
        <v>251</v>
      </c>
      <c r="E85" s="210"/>
      <c r="L85" s="223">
        <f t="shared" si="2"/>
        <v>0</v>
      </c>
      <c r="N85" s="223">
        <f t="shared" si="3"/>
        <v>0</v>
      </c>
    </row>
    <row r="86" spans="2:14" hidden="1">
      <c r="B86" s="194" t="s">
        <v>252</v>
      </c>
      <c r="E86" s="210"/>
      <c r="L86" s="223">
        <f t="shared" si="2"/>
        <v>0</v>
      </c>
      <c r="N86" s="223">
        <f t="shared" si="3"/>
        <v>0</v>
      </c>
    </row>
    <row r="87" spans="2:14" hidden="1">
      <c r="B87" s="194" t="s">
        <v>253</v>
      </c>
      <c r="E87" s="210"/>
      <c r="L87" s="223">
        <f t="shared" si="2"/>
        <v>0</v>
      </c>
      <c r="N87" s="223">
        <f t="shared" si="3"/>
        <v>0</v>
      </c>
    </row>
    <row r="88" spans="2:14" ht="15">
      <c r="B88" s="209" t="s">
        <v>254</v>
      </c>
      <c r="E88" s="216">
        <v>0</v>
      </c>
      <c r="G88" s="216"/>
      <c r="H88" s="216">
        <v>0</v>
      </c>
      <c r="L88" s="223">
        <f t="shared" si="2"/>
        <v>0</v>
      </c>
      <c r="N88" s="223">
        <f t="shared" si="3"/>
        <v>0</v>
      </c>
    </row>
    <row r="89" spans="2:14" ht="15">
      <c r="B89" s="209"/>
      <c r="E89" s="210"/>
      <c r="L89" s="223">
        <f t="shared" si="2"/>
        <v>0</v>
      </c>
      <c r="N89" s="223">
        <f t="shared" si="3"/>
        <v>0</v>
      </c>
    </row>
    <row r="90" spans="2:14" ht="15">
      <c r="B90" s="209" t="s">
        <v>255</v>
      </c>
      <c r="E90" s="216">
        <f>E79</f>
        <v>146478.71000000002</v>
      </c>
      <c r="G90" s="216" t="e">
        <f>G79</f>
        <v>#REF!</v>
      </c>
      <c r="H90" s="216">
        <f>H79</f>
        <v>130018.73000000001</v>
      </c>
      <c r="L90" s="223">
        <f t="shared" si="2"/>
        <v>20507019.400000002</v>
      </c>
      <c r="N90" s="223">
        <f t="shared" si="3"/>
        <v>18063502.158900004</v>
      </c>
    </row>
    <row r="91" spans="2:14">
      <c r="E91" s="210"/>
      <c r="L91" s="223">
        <f t="shared" si="2"/>
        <v>0</v>
      </c>
      <c r="N91" s="223">
        <f t="shared" si="3"/>
        <v>0</v>
      </c>
    </row>
    <row r="92" spans="2:14" ht="12" customHeight="1">
      <c r="B92" s="439" t="s">
        <v>256</v>
      </c>
      <c r="C92" s="439"/>
      <c r="E92" s="210"/>
      <c r="L92" s="223">
        <f t="shared" si="2"/>
        <v>0</v>
      </c>
      <c r="N92" s="223">
        <f t="shared" si="3"/>
        <v>0</v>
      </c>
    </row>
    <row r="93" spans="2:14" hidden="1">
      <c r="B93" s="194" t="s">
        <v>257</v>
      </c>
      <c r="E93" s="210"/>
      <c r="L93" s="223">
        <f t="shared" si="2"/>
        <v>0</v>
      </c>
      <c r="N93" s="223">
        <f t="shared" si="3"/>
        <v>0</v>
      </c>
    </row>
    <row r="94" spans="2:14" hidden="1">
      <c r="B94" s="194" t="s">
        <v>258</v>
      </c>
      <c r="E94" s="210"/>
      <c r="L94" s="223">
        <f t="shared" si="2"/>
        <v>0</v>
      </c>
      <c r="N94" s="223">
        <f t="shared" si="3"/>
        <v>0</v>
      </c>
    </row>
    <row r="95" spans="2:14" hidden="1">
      <c r="B95" s="194" t="s">
        <v>119</v>
      </c>
      <c r="E95" s="210"/>
      <c r="L95" s="223">
        <f t="shared" si="2"/>
        <v>0</v>
      </c>
      <c r="N95" s="223">
        <f t="shared" si="3"/>
        <v>0</v>
      </c>
    </row>
    <row r="96" spans="2:14" hidden="1">
      <c r="B96" s="194" t="s">
        <v>259</v>
      </c>
      <c r="E96" s="210"/>
      <c r="L96" s="223">
        <f t="shared" si="2"/>
        <v>0</v>
      </c>
      <c r="N96" s="223">
        <f t="shared" si="3"/>
        <v>0</v>
      </c>
    </row>
    <row r="97" spans="2:14" hidden="1">
      <c r="B97" s="194" t="s">
        <v>260</v>
      </c>
      <c r="E97" s="210"/>
      <c r="L97" s="223">
        <f t="shared" si="2"/>
        <v>0</v>
      </c>
      <c r="N97" s="223">
        <f t="shared" si="3"/>
        <v>0</v>
      </c>
    </row>
    <row r="98" spans="2:14" hidden="1">
      <c r="B98" s="194" t="s">
        <v>261</v>
      </c>
      <c r="E98" s="210"/>
      <c r="L98" s="223">
        <f t="shared" si="2"/>
        <v>0</v>
      </c>
      <c r="N98" s="223">
        <f t="shared" si="3"/>
        <v>0</v>
      </c>
    </row>
    <row r="99" spans="2:14" hidden="1">
      <c r="B99" s="194" t="s">
        <v>262</v>
      </c>
      <c r="E99" s="210"/>
      <c r="L99" s="223">
        <f t="shared" si="2"/>
        <v>0</v>
      </c>
      <c r="N99" s="223">
        <f t="shared" si="3"/>
        <v>0</v>
      </c>
    </row>
    <row r="100" spans="2:14">
      <c r="C100" s="194" t="s">
        <v>263</v>
      </c>
      <c r="E100" s="210">
        <f>H102</f>
        <v>285009.28999999998</v>
      </c>
      <c r="H100" s="196">
        <v>-3869.64</v>
      </c>
      <c r="L100" s="223">
        <f t="shared" si="2"/>
        <v>39901300.599999994</v>
      </c>
      <c r="N100" s="223">
        <f t="shared" si="3"/>
        <v>-537609.08519999997</v>
      </c>
    </row>
    <row r="101" spans="2:14">
      <c r="C101" s="194" t="s">
        <v>264</v>
      </c>
      <c r="D101" s="195">
        <v>13</v>
      </c>
      <c r="E101" s="210">
        <f>'[7]PASH 2012'!D39</f>
        <v>253061.31400000004</v>
      </c>
      <c r="H101" s="210">
        <v>288878.93</v>
      </c>
      <c r="L101" s="223">
        <f t="shared" si="2"/>
        <v>35428583.960000008</v>
      </c>
      <c r="N101" s="223">
        <f t="shared" si="3"/>
        <v>40133949.744900003</v>
      </c>
    </row>
    <row r="102" spans="2:14" ht="15">
      <c r="B102" s="209" t="s">
        <v>265</v>
      </c>
      <c r="E102" s="216">
        <f>SUM(E93:E101)</f>
        <v>538070.60400000005</v>
      </c>
      <c r="G102" s="216">
        <f>SUM(G93:G101)</f>
        <v>0</v>
      </c>
      <c r="H102" s="216">
        <f>SUM(H93:H101)</f>
        <v>285009.28999999998</v>
      </c>
      <c r="K102" s="212">
        <f>(E102-H102)</f>
        <v>253061.31400000007</v>
      </c>
      <c r="L102" s="223">
        <f t="shared" si="2"/>
        <v>75329884.560000002</v>
      </c>
      <c r="N102" s="223">
        <f t="shared" si="3"/>
        <v>39596340.659699999</v>
      </c>
    </row>
    <row r="103" spans="2:14" ht="6" customHeight="1">
      <c r="B103" s="209"/>
      <c r="E103" s="210"/>
      <c r="L103" s="223">
        <f t="shared" si="2"/>
        <v>0</v>
      </c>
      <c r="N103" s="223">
        <f t="shared" si="3"/>
        <v>0</v>
      </c>
    </row>
    <row r="104" spans="2:14" ht="15.75" thickBot="1">
      <c r="B104" s="439" t="s">
        <v>266</v>
      </c>
      <c r="C104" s="439"/>
      <c r="E104" s="221">
        <f>E90+E102</f>
        <v>684549.31400000001</v>
      </c>
      <c r="G104" s="221" t="e">
        <f>G90+G102</f>
        <v>#REF!</v>
      </c>
      <c r="H104" s="221">
        <f>H90+H102</f>
        <v>415028.02</v>
      </c>
      <c r="L104" s="223">
        <f t="shared" si="2"/>
        <v>95836903.960000008</v>
      </c>
      <c r="N104" s="223">
        <f t="shared" si="3"/>
        <v>57659842.818600006</v>
      </c>
    </row>
    <row r="105" spans="2:14" ht="14.25" thickTop="1"/>
    <row r="106" spans="2:14">
      <c r="E106" s="222">
        <f>E104-E62</f>
        <v>7.9999997979030013E-3</v>
      </c>
      <c r="F106" s="210"/>
      <c r="G106" s="210" t="e">
        <f>G62-G104</f>
        <v>#REF!</v>
      </c>
      <c r="H106" s="222">
        <f>H62-H104</f>
        <v>0</v>
      </c>
    </row>
  </sheetData>
  <mergeCells count="8">
    <mergeCell ref="B92:C92"/>
    <mergeCell ref="B104:C104"/>
    <mergeCell ref="B4:H4"/>
    <mergeCell ref="B6:H6"/>
    <mergeCell ref="E9:H9"/>
    <mergeCell ref="B12:C12"/>
    <mergeCell ref="B62:C62"/>
    <mergeCell ref="B65:C6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01"/>
  <sheetViews>
    <sheetView workbookViewId="0">
      <selection activeCell="M33" sqref="M33"/>
    </sheetView>
  </sheetViews>
  <sheetFormatPr defaultRowHeight="12.75"/>
  <cols>
    <col min="1" max="1" width="3.42578125" style="227" customWidth="1"/>
    <col min="2" max="2" width="37.140625" style="227" customWidth="1"/>
    <col min="3" max="3" width="11.42578125" style="224" customWidth="1"/>
    <col min="4" max="4" width="12.7109375" style="225" customWidth="1"/>
    <col min="5" max="5" width="1.140625" style="226" customWidth="1"/>
    <col min="6" max="6" width="2.140625" style="225" customWidth="1"/>
    <col min="7" max="7" width="12.7109375" style="227" customWidth="1"/>
    <col min="8" max="8" width="9.140625" style="227"/>
    <col min="9" max="9" width="14" style="228" bestFit="1" customWidth="1"/>
    <col min="10" max="10" width="9.140625" style="227"/>
    <col min="11" max="11" width="14" style="228" bestFit="1" customWidth="1"/>
    <col min="12" max="256" width="9.140625" style="227"/>
    <col min="257" max="257" width="3.42578125" style="227" customWidth="1"/>
    <col min="258" max="258" width="37.140625" style="227" customWidth="1"/>
    <col min="259" max="259" width="11.42578125" style="227" customWidth="1"/>
    <col min="260" max="260" width="12.7109375" style="227" customWidth="1"/>
    <col min="261" max="261" width="1.140625" style="227" customWidth="1"/>
    <col min="262" max="262" width="2.140625" style="227" customWidth="1"/>
    <col min="263" max="263" width="12.7109375" style="227" customWidth="1"/>
    <col min="264" max="264" width="9.140625" style="227"/>
    <col min="265" max="265" width="14" style="227" bestFit="1" customWidth="1"/>
    <col min="266" max="266" width="9.140625" style="227"/>
    <col min="267" max="267" width="14" style="227" bestFit="1" customWidth="1"/>
    <col min="268" max="512" width="9.140625" style="227"/>
    <col min="513" max="513" width="3.42578125" style="227" customWidth="1"/>
    <col min="514" max="514" width="37.140625" style="227" customWidth="1"/>
    <col min="515" max="515" width="11.42578125" style="227" customWidth="1"/>
    <col min="516" max="516" width="12.7109375" style="227" customWidth="1"/>
    <col min="517" max="517" width="1.140625" style="227" customWidth="1"/>
    <col min="518" max="518" width="2.140625" style="227" customWidth="1"/>
    <col min="519" max="519" width="12.7109375" style="227" customWidth="1"/>
    <col min="520" max="520" width="9.140625" style="227"/>
    <col min="521" max="521" width="14" style="227" bestFit="1" customWidth="1"/>
    <col min="522" max="522" width="9.140625" style="227"/>
    <col min="523" max="523" width="14" style="227" bestFit="1" customWidth="1"/>
    <col min="524" max="768" width="9.140625" style="227"/>
    <col min="769" max="769" width="3.42578125" style="227" customWidth="1"/>
    <col min="770" max="770" width="37.140625" style="227" customWidth="1"/>
    <col min="771" max="771" width="11.42578125" style="227" customWidth="1"/>
    <col min="772" max="772" width="12.7109375" style="227" customWidth="1"/>
    <col min="773" max="773" width="1.140625" style="227" customWidth="1"/>
    <col min="774" max="774" width="2.140625" style="227" customWidth="1"/>
    <col min="775" max="775" width="12.7109375" style="227" customWidth="1"/>
    <col min="776" max="776" width="9.140625" style="227"/>
    <col min="777" max="777" width="14" style="227" bestFit="1" customWidth="1"/>
    <col min="778" max="778" width="9.140625" style="227"/>
    <col min="779" max="779" width="14" style="227" bestFit="1" customWidth="1"/>
    <col min="780" max="1024" width="9.140625" style="227"/>
    <col min="1025" max="1025" width="3.42578125" style="227" customWidth="1"/>
    <col min="1026" max="1026" width="37.140625" style="227" customWidth="1"/>
    <col min="1027" max="1027" width="11.42578125" style="227" customWidth="1"/>
    <col min="1028" max="1028" width="12.7109375" style="227" customWidth="1"/>
    <col min="1029" max="1029" width="1.140625" style="227" customWidth="1"/>
    <col min="1030" max="1030" width="2.140625" style="227" customWidth="1"/>
    <col min="1031" max="1031" width="12.7109375" style="227" customWidth="1"/>
    <col min="1032" max="1032" width="9.140625" style="227"/>
    <col min="1033" max="1033" width="14" style="227" bestFit="1" customWidth="1"/>
    <col min="1034" max="1034" width="9.140625" style="227"/>
    <col min="1035" max="1035" width="14" style="227" bestFit="1" customWidth="1"/>
    <col min="1036" max="1280" width="9.140625" style="227"/>
    <col min="1281" max="1281" width="3.42578125" style="227" customWidth="1"/>
    <col min="1282" max="1282" width="37.140625" style="227" customWidth="1"/>
    <col min="1283" max="1283" width="11.42578125" style="227" customWidth="1"/>
    <col min="1284" max="1284" width="12.7109375" style="227" customWidth="1"/>
    <col min="1285" max="1285" width="1.140625" style="227" customWidth="1"/>
    <col min="1286" max="1286" width="2.140625" style="227" customWidth="1"/>
    <col min="1287" max="1287" width="12.7109375" style="227" customWidth="1"/>
    <col min="1288" max="1288" width="9.140625" style="227"/>
    <col min="1289" max="1289" width="14" style="227" bestFit="1" customWidth="1"/>
    <col min="1290" max="1290" width="9.140625" style="227"/>
    <col min="1291" max="1291" width="14" style="227" bestFit="1" customWidth="1"/>
    <col min="1292" max="1536" width="9.140625" style="227"/>
    <col min="1537" max="1537" width="3.42578125" style="227" customWidth="1"/>
    <col min="1538" max="1538" width="37.140625" style="227" customWidth="1"/>
    <col min="1539" max="1539" width="11.42578125" style="227" customWidth="1"/>
    <col min="1540" max="1540" width="12.7109375" style="227" customWidth="1"/>
    <col min="1541" max="1541" width="1.140625" style="227" customWidth="1"/>
    <col min="1542" max="1542" width="2.140625" style="227" customWidth="1"/>
    <col min="1543" max="1543" width="12.7109375" style="227" customWidth="1"/>
    <col min="1544" max="1544" width="9.140625" style="227"/>
    <col min="1545" max="1545" width="14" style="227" bestFit="1" customWidth="1"/>
    <col min="1546" max="1546" width="9.140625" style="227"/>
    <col min="1547" max="1547" width="14" style="227" bestFit="1" customWidth="1"/>
    <col min="1548" max="1792" width="9.140625" style="227"/>
    <col min="1793" max="1793" width="3.42578125" style="227" customWidth="1"/>
    <col min="1794" max="1794" width="37.140625" style="227" customWidth="1"/>
    <col min="1795" max="1795" width="11.42578125" style="227" customWidth="1"/>
    <col min="1796" max="1796" width="12.7109375" style="227" customWidth="1"/>
    <col min="1797" max="1797" width="1.140625" style="227" customWidth="1"/>
    <col min="1798" max="1798" width="2.140625" style="227" customWidth="1"/>
    <col min="1799" max="1799" width="12.7109375" style="227" customWidth="1"/>
    <col min="1800" max="1800" width="9.140625" style="227"/>
    <col min="1801" max="1801" width="14" style="227" bestFit="1" customWidth="1"/>
    <col min="1802" max="1802" width="9.140625" style="227"/>
    <col min="1803" max="1803" width="14" style="227" bestFit="1" customWidth="1"/>
    <col min="1804" max="2048" width="9.140625" style="227"/>
    <col min="2049" max="2049" width="3.42578125" style="227" customWidth="1"/>
    <col min="2050" max="2050" width="37.140625" style="227" customWidth="1"/>
    <col min="2051" max="2051" width="11.42578125" style="227" customWidth="1"/>
    <col min="2052" max="2052" width="12.7109375" style="227" customWidth="1"/>
    <col min="2053" max="2053" width="1.140625" style="227" customWidth="1"/>
    <col min="2054" max="2054" width="2.140625" style="227" customWidth="1"/>
    <col min="2055" max="2055" width="12.7109375" style="227" customWidth="1"/>
    <col min="2056" max="2056" width="9.140625" style="227"/>
    <col min="2057" max="2057" width="14" style="227" bestFit="1" customWidth="1"/>
    <col min="2058" max="2058" width="9.140625" style="227"/>
    <col min="2059" max="2059" width="14" style="227" bestFit="1" customWidth="1"/>
    <col min="2060" max="2304" width="9.140625" style="227"/>
    <col min="2305" max="2305" width="3.42578125" style="227" customWidth="1"/>
    <col min="2306" max="2306" width="37.140625" style="227" customWidth="1"/>
    <col min="2307" max="2307" width="11.42578125" style="227" customWidth="1"/>
    <col min="2308" max="2308" width="12.7109375" style="227" customWidth="1"/>
    <col min="2309" max="2309" width="1.140625" style="227" customWidth="1"/>
    <col min="2310" max="2310" width="2.140625" style="227" customWidth="1"/>
    <col min="2311" max="2311" width="12.7109375" style="227" customWidth="1"/>
    <col min="2312" max="2312" width="9.140625" style="227"/>
    <col min="2313" max="2313" width="14" style="227" bestFit="1" customWidth="1"/>
    <col min="2314" max="2314" width="9.140625" style="227"/>
    <col min="2315" max="2315" width="14" style="227" bestFit="1" customWidth="1"/>
    <col min="2316" max="2560" width="9.140625" style="227"/>
    <col min="2561" max="2561" width="3.42578125" style="227" customWidth="1"/>
    <col min="2562" max="2562" width="37.140625" style="227" customWidth="1"/>
    <col min="2563" max="2563" width="11.42578125" style="227" customWidth="1"/>
    <col min="2564" max="2564" width="12.7109375" style="227" customWidth="1"/>
    <col min="2565" max="2565" width="1.140625" style="227" customWidth="1"/>
    <col min="2566" max="2566" width="2.140625" style="227" customWidth="1"/>
    <col min="2567" max="2567" width="12.7109375" style="227" customWidth="1"/>
    <col min="2568" max="2568" width="9.140625" style="227"/>
    <col min="2569" max="2569" width="14" style="227" bestFit="1" customWidth="1"/>
    <col min="2570" max="2570" width="9.140625" style="227"/>
    <col min="2571" max="2571" width="14" style="227" bestFit="1" customWidth="1"/>
    <col min="2572" max="2816" width="9.140625" style="227"/>
    <col min="2817" max="2817" width="3.42578125" style="227" customWidth="1"/>
    <col min="2818" max="2818" width="37.140625" style="227" customWidth="1"/>
    <col min="2819" max="2819" width="11.42578125" style="227" customWidth="1"/>
    <col min="2820" max="2820" width="12.7109375" style="227" customWidth="1"/>
    <col min="2821" max="2821" width="1.140625" style="227" customWidth="1"/>
    <col min="2822" max="2822" width="2.140625" style="227" customWidth="1"/>
    <col min="2823" max="2823" width="12.7109375" style="227" customWidth="1"/>
    <col min="2824" max="2824" width="9.140625" style="227"/>
    <col min="2825" max="2825" width="14" style="227" bestFit="1" customWidth="1"/>
    <col min="2826" max="2826" width="9.140625" style="227"/>
    <col min="2827" max="2827" width="14" style="227" bestFit="1" customWidth="1"/>
    <col min="2828" max="3072" width="9.140625" style="227"/>
    <col min="3073" max="3073" width="3.42578125" style="227" customWidth="1"/>
    <col min="3074" max="3074" width="37.140625" style="227" customWidth="1"/>
    <col min="3075" max="3075" width="11.42578125" style="227" customWidth="1"/>
    <col min="3076" max="3076" width="12.7109375" style="227" customWidth="1"/>
    <col min="3077" max="3077" width="1.140625" style="227" customWidth="1"/>
    <col min="3078" max="3078" width="2.140625" style="227" customWidth="1"/>
    <col min="3079" max="3079" width="12.7109375" style="227" customWidth="1"/>
    <col min="3080" max="3080" width="9.140625" style="227"/>
    <col min="3081" max="3081" width="14" style="227" bestFit="1" customWidth="1"/>
    <col min="3082" max="3082" width="9.140625" style="227"/>
    <col min="3083" max="3083" width="14" style="227" bestFit="1" customWidth="1"/>
    <col min="3084" max="3328" width="9.140625" style="227"/>
    <col min="3329" max="3329" width="3.42578125" style="227" customWidth="1"/>
    <col min="3330" max="3330" width="37.140625" style="227" customWidth="1"/>
    <col min="3331" max="3331" width="11.42578125" style="227" customWidth="1"/>
    <col min="3332" max="3332" width="12.7109375" style="227" customWidth="1"/>
    <col min="3333" max="3333" width="1.140625" style="227" customWidth="1"/>
    <col min="3334" max="3334" width="2.140625" style="227" customWidth="1"/>
    <col min="3335" max="3335" width="12.7109375" style="227" customWidth="1"/>
    <col min="3336" max="3336" width="9.140625" style="227"/>
    <col min="3337" max="3337" width="14" style="227" bestFit="1" customWidth="1"/>
    <col min="3338" max="3338" width="9.140625" style="227"/>
    <col min="3339" max="3339" width="14" style="227" bestFit="1" customWidth="1"/>
    <col min="3340" max="3584" width="9.140625" style="227"/>
    <col min="3585" max="3585" width="3.42578125" style="227" customWidth="1"/>
    <col min="3586" max="3586" width="37.140625" style="227" customWidth="1"/>
    <col min="3587" max="3587" width="11.42578125" style="227" customWidth="1"/>
    <col min="3588" max="3588" width="12.7109375" style="227" customWidth="1"/>
    <col min="3589" max="3589" width="1.140625" style="227" customWidth="1"/>
    <col min="3590" max="3590" width="2.140625" style="227" customWidth="1"/>
    <col min="3591" max="3591" width="12.7109375" style="227" customWidth="1"/>
    <col min="3592" max="3592" width="9.140625" style="227"/>
    <col min="3593" max="3593" width="14" style="227" bestFit="1" customWidth="1"/>
    <col min="3594" max="3594" width="9.140625" style="227"/>
    <col min="3595" max="3595" width="14" style="227" bestFit="1" customWidth="1"/>
    <col min="3596" max="3840" width="9.140625" style="227"/>
    <col min="3841" max="3841" width="3.42578125" style="227" customWidth="1"/>
    <col min="3842" max="3842" width="37.140625" style="227" customWidth="1"/>
    <col min="3843" max="3843" width="11.42578125" style="227" customWidth="1"/>
    <col min="3844" max="3844" width="12.7109375" style="227" customWidth="1"/>
    <col min="3845" max="3845" width="1.140625" style="227" customWidth="1"/>
    <col min="3846" max="3846" width="2.140625" style="227" customWidth="1"/>
    <col min="3847" max="3847" width="12.7109375" style="227" customWidth="1"/>
    <col min="3848" max="3848" width="9.140625" style="227"/>
    <col min="3849" max="3849" width="14" style="227" bestFit="1" customWidth="1"/>
    <col min="3850" max="3850" width="9.140625" style="227"/>
    <col min="3851" max="3851" width="14" style="227" bestFit="1" customWidth="1"/>
    <col min="3852" max="4096" width="9.140625" style="227"/>
    <col min="4097" max="4097" width="3.42578125" style="227" customWidth="1"/>
    <col min="4098" max="4098" width="37.140625" style="227" customWidth="1"/>
    <col min="4099" max="4099" width="11.42578125" style="227" customWidth="1"/>
    <col min="4100" max="4100" width="12.7109375" style="227" customWidth="1"/>
    <col min="4101" max="4101" width="1.140625" style="227" customWidth="1"/>
    <col min="4102" max="4102" width="2.140625" style="227" customWidth="1"/>
    <col min="4103" max="4103" width="12.7109375" style="227" customWidth="1"/>
    <col min="4104" max="4104" width="9.140625" style="227"/>
    <col min="4105" max="4105" width="14" style="227" bestFit="1" customWidth="1"/>
    <col min="4106" max="4106" width="9.140625" style="227"/>
    <col min="4107" max="4107" width="14" style="227" bestFit="1" customWidth="1"/>
    <col min="4108" max="4352" width="9.140625" style="227"/>
    <col min="4353" max="4353" width="3.42578125" style="227" customWidth="1"/>
    <col min="4354" max="4354" width="37.140625" style="227" customWidth="1"/>
    <col min="4355" max="4355" width="11.42578125" style="227" customWidth="1"/>
    <col min="4356" max="4356" width="12.7109375" style="227" customWidth="1"/>
    <col min="4357" max="4357" width="1.140625" style="227" customWidth="1"/>
    <col min="4358" max="4358" width="2.140625" style="227" customWidth="1"/>
    <col min="4359" max="4359" width="12.7109375" style="227" customWidth="1"/>
    <col min="4360" max="4360" width="9.140625" style="227"/>
    <col min="4361" max="4361" width="14" style="227" bestFit="1" customWidth="1"/>
    <col min="4362" max="4362" width="9.140625" style="227"/>
    <col min="4363" max="4363" width="14" style="227" bestFit="1" customWidth="1"/>
    <col min="4364" max="4608" width="9.140625" style="227"/>
    <col min="4609" max="4609" width="3.42578125" style="227" customWidth="1"/>
    <col min="4610" max="4610" width="37.140625" style="227" customWidth="1"/>
    <col min="4611" max="4611" width="11.42578125" style="227" customWidth="1"/>
    <col min="4612" max="4612" width="12.7109375" style="227" customWidth="1"/>
    <col min="4613" max="4613" width="1.140625" style="227" customWidth="1"/>
    <col min="4614" max="4614" width="2.140625" style="227" customWidth="1"/>
    <col min="4615" max="4615" width="12.7109375" style="227" customWidth="1"/>
    <col min="4616" max="4616" width="9.140625" style="227"/>
    <col min="4617" max="4617" width="14" style="227" bestFit="1" customWidth="1"/>
    <col min="4618" max="4618" width="9.140625" style="227"/>
    <col min="4619" max="4619" width="14" style="227" bestFit="1" customWidth="1"/>
    <col min="4620" max="4864" width="9.140625" style="227"/>
    <col min="4865" max="4865" width="3.42578125" style="227" customWidth="1"/>
    <col min="4866" max="4866" width="37.140625" style="227" customWidth="1"/>
    <col min="4867" max="4867" width="11.42578125" style="227" customWidth="1"/>
    <col min="4868" max="4868" width="12.7109375" style="227" customWidth="1"/>
    <col min="4869" max="4869" width="1.140625" style="227" customWidth="1"/>
    <col min="4870" max="4870" width="2.140625" style="227" customWidth="1"/>
    <col min="4871" max="4871" width="12.7109375" style="227" customWidth="1"/>
    <col min="4872" max="4872" width="9.140625" style="227"/>
    <col min="4873" max="4873" width="14" style="227" bestFit="1" customWidth="1"/>
    <col min="4874" max="4874" width="9.140625" style="227"/>
    <col min="4875" max="4875" width="14" style="227" bestFit="1" customWidth="1"/>
    <col min="4876" max="5120" width="9.140625" style="227"/>
    <col min="5121" max="5121" width="3.42578125" style="227" customWidth="1"/>
    <col min="5122" max="5122" width="37.140625" style="227" customWidth="1"/>
    <col min="5123" max="5123" width="11.42578125" style="227" customWidth="1"/>
    <col min="5124" max="5124" width="12.7109375" style="227" customWidth="1"/>
    <col min="5125" max="5125" width="1.140625" style="227" customWidth="1"/>
    <col min="5126" max="5126" width="2.140625" style="227" customWidth="1"/>
    <col min="5127" max="5127" width="12.7109375" style="227" customWidth="1"/>
    <col min="5128" max="5128" width="9.140625" style="227"/>
    <col min="5129" max="5129" width="14" style="227" bestFit="1" customWidth="1"/>
    <col min="5130" max="5130" width="9.140625" style="227"/>
    <col min="5131" max="5131" width="14" style="227" bestFit="1" customWidth="1"/>
    <col min="5132" max="5376" width="9.140625" style="227"/>
    <col min="5377" max="5377" width="3.42578125" style="227" customWidth="1"/>
    <col min="5378" max="5378" width="37.140625" style="227" customWidth="1"/>
    <col min="5379" max="5379" width="11.42578125" style="227" customWidth="1"/>
    <col min="5380" max="5380" width="12.7109375" style="227" customWidth="1"/>
    <col min="5381" max="5381" width="1.140625" style="227" customWidth="1"/>
    <col min="5382" max="5382" width="2.140625" style="227" customWidth="1"/>
    <col min="5383" max="5383" width="12.7109375" style="227" customWidth="1"/>
    <col min="5384" max="5384" width="9.140625" style="227"/>
    <col min="5385" max="5385" width="14" style="227" bestFit="1" customWidth="1"/>
    <col min="5386" max="5386" width="9.140625" style="227"/>
    <col min="5387" max="5387" width="14" style="227" bestFit="1" customWidth="1"/>
    <col min="5388" max="5632" width="9.140625" style="227"/>
    <col min="5633" max="5633" width="3.42578125" style="227" customWidth="1"/>
    <col min="5634" max="5634" width="37.140625" style="227" customWidth="1"/>
    <col min="5635" max="5635" width="11.42578125" style="227" customWidth="1"/>
    <col min="5636" max="5636" width="12.7109375" style="227" customWidth="1"/>
    <col min="5637" max="5637" width="1.140625" style="227" customWidth="1"/>
    <col min="5638" max="5638" width="2.140625" style="227" customWidth="1"/>
    <col min="5639" max="5639" width="12.7109375" style="227" customWidth="1"/>
    <col min="5640" max="5640" width="9.140625" style="227"/>
    <col min="5641" max="5641" width="14" style="227" bestFit="1" customWidth="1"/>
    <col min="5642" max="5642" width="9.140625" style="227"/>
    <col min="5643" max="5643" width="14" style="227" bestFit="1" customWidth="1"/>
    <col min="5644" max="5888" width="9.140625" style="227"/>
    <col min="5889" max="5889" width="3.42578125" style="227" customWidth="1"/>
    <col min="5890" max="5890" width="37.140625" style="227" customWidth="1"/>
    <col min="5891" max="5891" width="11.42578125" style="227" customWidth="1"/>
    <col min="5892" max="5892" width="12.7109375" style="227" customWidth="1"/>
    <col min="5893" max="5893" width="1.140625" style="227" customWidth="1"/>
    <col min="5894" max="5894" width="2.140625" style="227" customWidth="1"/>
    <col min="5895" max="5895" width="12.7109375" style="227" customWidth="1"/>
    <col min="5896" max="5896" width="9.140625" style="227"/>
    <col min="5897" max="5897" width="14" style="227" bestFit="1" customWidth="1"/>
    <col min="5898" max="5898" width="9.140625" style="227"/>
    <col min="5899" max="5899" width="14" style="227" bestFit="1" customWidth="1"/>
    <col min="5900" max="6144" width="9.140625" style="227"/>
    <col min="6145" max="6145" width="3.42578125" style="227" customWidth="1"/>
    <col min="6146" max="6146" width="37.140625" style="227" customWidth="1"/>
    <col min="6147" max="6147" width="11.42578125" style="227" customWidth="1"/>
    <col min="6148" max="6148" width="12.7109375" style="227" customWidth="1"/>
    <col min="6149" max="6149" width="1.140625" style="227" customWidth="1"/>
    <col min="6150" max="6150" width="2.140625" style="227" customWidth="1"/>
    <col min="6151" max="6151" width="12.7109375" style="227" customWidth="1"/>
    <col min="6152" max="6152" width="9.140625" style="227"/>
    <col min="6153" max="6153" width="14" style="227" bestFit="1" customWidth="1"/>
    <col min="6154" max="6154" width="9.140625" style="227"/>
    <col min="6155" max="6155" width="14" style="227" bestFit="1" customWidth="1"/>
    <col min="6156" max="6400" width="9.140625" style="227"/>
    <col min="6401" max="6401" width="3.42578125" style="227" customWidth="1"/>
    <col min="6402" max="6402" width="37.140625" style="227" customWidth="1"/>
    <col min="6403" max="6403" width="11.42578125" style="227" customWidth="1"/>
    <col min="6404" max="6404" width="12.7109375" style="227" customWidth="1"/>
    <col min="6405" max="6405" width="1.140625" style="227" customWidth="1"/>
    <col min="6406" max="6406" width="2.140625" style="227" customWidth="1"/>
    <col min="6407" max="6407" width="12.7109375" style="227" customWidth="1"/>
    <col min="6408" max="6408" width="9.140625" style="227"/>
    <col min="6409" max="6409" width="14" style="227" bestFit="1" customWidth="1"/>
    <col min="6410" max="6410" width="9.140625" style="227"/>
    <col min="6411" max="6411" width="14" style="227" bestFit="1" customWidth="1"/>
    <col min="6412" max="6656" width="9.140625" style="227"/>
    <col min="6657" max="6657" width="3.42578125" style="227" customWidth="1"/>
    <col min="6658" max="6658" width="37.140625" style="227" customWidth="1"/>
    <col min="6659" max="6659" width="11.42578125" style="227" customWidth="1"/>
    <col min="6660" max="6660" width="12.7109375" style="227" customWidth="1"/>
    <col min="6661" max="6661" width="1.140625" style="227" customWidth="1"/>
    <col min="6662" max="6662" width="2.140625" style="227" customWidth="1"/>
    <col min="6663" max="6663" width="12.7109375" style="227" customWidth="1"/>
    <col min="6664" max="6664" width="9.140625" style="227"/>
    <col min="6665" max="6665" width="14" style="227" bestFit="1" customWidth="1"/>
    <col min="6666" max="6666" width="9.140625" style="227"/>
    <col min="6667" max="6667" width="14" style="227" bestFit="1" customWidth="1"/>
    <col min="6668" max="6912" width="9.140625" style="227"/>
    <col min="6913" max="6913" width="3.42578125" style="227" customWidth="1"/>
    <col min="6914" max="6914" width="37.140625" style="227" customWidth="1"/>
    <col min="6915" max="6915" width="11.42578125" style="227" customWidth="1"/>
    <col min="6916" max="6916" width="12.7109375" style="227" customWidth="1"/>
    <col min="6917" max="6917" width="1.140625" style="227" customWidth="1"/>
    <col min="6918" max="6918" width="2.140625" style="227" customWidth="1"/>
    <col min="6919" max="6919" width="12.7109375" style="227" customWidth="1"/>
    <col min="6920" max="6920" width="9.140625" style="227"/>
    <col min="6921" max="6921" width="14" style="227" bestFit="1" customWidth="1"/>
    <col min="6922" max="6922" width="9.140625" style="227"/>
    <col min="6923" max="6923" width="14" style="227" bestFit="1" customWidth="1"/>
    <col min="6924" max="7168" width="9.140625" style="227"/>
    <col min="7169" max="7169" width="3.42578125" style="227" customWidth="1"/>
    <col min="7170" max="7170" width="37.140625" style="227" customWidth="1"/>
    <col min="7171" max="7171" width="11.42578125" style="227" customWidth="1"/>
    <col min="7172" max="7172" width="12.7109375" style="227" customWidth="1"/>
    <col min="7173" max="7173" width="1.140625" style="227" customWidth="1"/>
    <col min="7174" max="7174" width="2.140625" style="227" customWidth="1"/>
    <col min="7175" max="7175" width="12.7109375" style="227" customWidth="1"/>
    <col min="7176" max="7176" width="9.140625" style="227"/>
    <col min="7177" max="7177" width="14" style="227" bestFit="1" customWidth="1"/>
    <col min="7178" max="7178" width="9.140625" style="227"/>
    <col min="7179" max="7179" width="14" style="227" bestFit="1" customWidth="1"/>
    <col min="7180" max="7424" width="9.140625" style="227"/>
    <col min="7425" max="7425" width="3.42578125" style="227" customWidth="1"/>
    <col min="7426" max="7426" width="37.140625" style="227" customWidth="1"/>
    <col min="7427" max="7427" width="11.42578125" style="227" customWidth="1"/>
    <col min="7428" max="7428" width="12.7109375" style="227" customWidth="1"/>
    <col min="7429" max="7429" width="1.140625" style="227" customWidth="1"/>
    <col min="7430" max="7430" width="2.140625" style="227" customWidth="1"/>
    <col min="7431" max="7431" width="12.7109375" style="227" customWidth="1"/>
    <col min="7432" max="7432" width="9.140625" style="227"/>
    <col min="7433" max="7433" width="14" style="227" bestFit="1" customWidth="1"/>
    <col min="7434" max="7434" width="9.140625" style="227"/>
    <col min="7435" max="7435" width="14" style="227" bestFit="1" customWidth="1"/>
    <col min="7436" max="7680" width="9.140625" style="227"/>
    <col min="7681" max="7681" width="3.42578125" style="227" customWidth="1"/>
    <col min="7682" max="7682" width="37.140625" style="227" customWidth="1"/>
    <col min="7683" max="7683" width="11.42578125" style="227" customWidth="1"/>
    <col min="7684" max="7684" width="12.7109375" style="227" customWidth="1"/>
    <col min="7685" max="7685" width="1.140625" style="227" customWidth="1"/>
    <col min="7686" max="7686" width="2.140625" style="227" customWidth="1"/>
    <col min="7687" max="7687" width="12.7109375" style="227" customWidth="1"/>
    <col min="7688" max="7688" width="9.140625" style="227"/>
    <col min="7689" max="7689" width="14" style="227" bestFit="1" customWidth="1"/>
    <col min="7690" max="7690" width="9.140625" style="227"/>
    <col min="7691" max="7691" width="14" style="227" bestFit="1" customWidth="1"/>
    <col min="7692" max="7936" width="9.140625" style="227"/>
    <col min="7937" max="7937" width="3.42578125" style="227" customWidth="1"/>
    <col min="7938" max="7938" width="37.140625" style="227" customWidth="1"/>
    <col min="7939" max="7939" width="11.42578125" style="227" customWidth="1"/>
    <col min="7940" max="7940" width="12.7109375" style="227" customWidth="1"/>
    <col min="7941" max="7941" width="1.140625" style="227" customWidth="1"/>
    <col min="7942" max="7942" width="2.140625" style="227" customWidth="1"/>
    <col min="7943" max="7943" width="12.7109375" style="227" customWidth="1"/>
    <col min="7944" max="7944" width="9.140625" style="227"/>
    <col min="7945" max="7945" width="14" style="227" bestFit="1" customWidth="1"/>
    <col min="7946" max="7946" width="9.140625" style="227"/>
    <col min="7947" max="7947" width="14" style="227" bestFit="1" customWidth="1"/>
    <col min="7948" max="8192" width="9.140625" style="227"/>
    <col min="8193" max="8193" width="3.42578125" style="227" customWidth="1"/>
    <col min="8194" max="8194" width="37.140625" style="227" customWidth="1"/>
    <col min="8195" max="8195" width="11.42578125" style="227" customWidth="1"/>
    <col min="8196" max="8196" width="12.7109375" style="227" customWidth="1"/>
    <col min="8197" max="8197" width="1.140625" style="227" customWidth="1"/>
    <col min="8198" max="8198" width="2.140625" style="227" customWidth="1"/>
    <col min="8199" max="8199" width="12.7109375" style="227" customWidth="1"/>
    <col min="8200" max="8200" width="9.140625" style="227"/>
    <col min="8201" max="8201" width="14" style="227" bestFit="1" customWidth="1"/>
    <col min="8202" max="8202" width="9.140625" style="227"/>
    <col min="8203" max="8203" width="14" style="227" bestFit="1" customWidth="1"/>
    <col min="8204" max="8448" width="9.140625" style="227"/>
    <col min="8449" max="8449" width="3.42578125" style="227" customWidth="1"/>
    <col min="8450" max="8450" width="37.140625" style="227" customWidth="1"/>
    <col min="8451" max="8451" width="11.42578125" style="227" customWidth="1"/>
    <col min="8452" max="8452" width="12.7109375" style="227" customWidth="1"/>
    <col min="8453" max="8453" width="1.140625" style="227" customWidth="1"/>
    <col min="8454" max="8454" width="2.140625" style="227" customWidth="1"/>
    <col min="8455" max="8455" width="12.7109375" style="227" customWidth="1"/>
    <col min="8456" max="8456" width="9.140625" style="227"/>
    <col min="8457" max="8457" width="14" style="227" bestFit="1" customWidth="1"/>
    <col min="8458" max="8458" width="9.140625" style="227"/>
    <col min="8459" max="8459" width="14" style="227" bestFit="1" customWidth="1"/>
    <col min="8460" max="8704" width="9.140625" style="227"/>
    <col min="8705" max="8705" width="3.42578125" style="227" customWidth="1"/>
    <col min="8706" max="8706" width="37.140625" style="227" customWidth="1"/>
    <col min="8707" max="8707" width="11.42578125" style="227" customWidth="1"/>
    <col min="8708" max="8708" width="12.7109375" style="227" customWidth="1"/>
    <col min="8709" max="8709" width="1.140625" style="227" customWidth="1"/>
    <col min="8710" max="8710" width="2.140625" style="227" customWidth="1"/>
    <col min="8711" max="8711" width="12.7109375" style="227" customWidth="1"/>
    <col min="8712" max="8712" width="9.140625" style="227"/>
    <col min="8713" max="8713" width="14" style="227" bestFit="1" customWidth="1"/>
    <col min="8714" max="8714" width="9.140625" style="227"/>
    <col min="8715" max="8715" width="14" style="227" bestFit="1" customWidth="1"/>
    <col min="8716" max="8960" width="9.140625" style="227"/>
    <col min="8961" max="8961" width="3.42578125" style="227" customWidth="1"/>
    <col min="8962" max="8962" width="37.140625" style="227" customWidth="1"/>
    <col min="8963" max="8963" width="11.42578125" style="227" customWidth="1"/>
    <col min="8964" max="8964" width="12.7109375" style="227" customWidth="1"/>
    <col min="8965" max="8965" width="1.140625" style="227" customWidth="1"/>
    <col min="8966" max="8966" width="2.140625" style="227" customWidth="1"/>
    <col min="8967" max="8967" width="12.7109375" style="227" customWidth="1"/>
    <col min="8968" max="8968" width="9.140625" style="227"/>
    <col min="8969" max="8969" width="14" style="227" bestFit="1" customWidth="1"/>
    <col min="8970" max="8970" width="9.140625" style="227"/>
    <col min="8971" max="8971" width="14" style="227" bestFit="1" customWidth="1"/>
    <col min="8972" max="9216" width="9.140625" style="227"/>
    <col min="9217" max="9217" width="3.42578125" style="227" customWidth="1"/>
    <col min="9218" max="9218" width="37.140625" style="227" customWidth="1"/>
    <col min="9219" max="9219" width="11.42578125" style="227" customWidth="1"/>
    <col min="9220" max="9220" width="12.7109375" style="227" customWidth="1"/>
    <col min="9221" max="9221" width="1.140625" style="227" customWidth="1"/>
    <col min="9222" max="9222" width="2.140625" style="227" customWidth="1"/>
    <col min="9223" max="9223" width="12.7109375" style="227" customWidth="1"/>
    <col min="9224" max="9224" width="9.140625" style="227"/>
    <col min="9225" max="9225" width="14" style="227" bestFit="1" customWidth="1"/>
    <col min="9226" max="9226" width="9.140625" style="227"/>
    <col min="9227" max="9227" width="14" style="227" bestFit="1" customWidth="1"/>
    <col min="9228" max="9472" width="9.140625" style="227"/>
    <col min="9473" max="9473" width="3.42578125" style="227" customWidth="1"/>
    <col min="9474" max="9474" width="37.140625" style="227" customWidth="1"/>
    <col min="9475" max="9475" width="11.42578125" style="227" customWidth="1"/>
    <col min="9476" max="9476" width="12.7109375" style="227" customWidth="1"/>
    <col min="9477" max="9477" width="1.140625" style="227" customWidth="1"/>
    <col min="9478" max="9478" width="2.140625" style="227" customWidth="1"/>
    <col min="9479" max="9479" width="12.7109375" style="227" customWidth="1"/>
    <col min="9480" max="9480" width="9.140625" style="227"/>
    <col min="9481" max="9481" width="14" style="227" bestFit="1" customWidth="1"/>
    <col min="9482" max="9482" width="9.140625" style="227"/>
    <col min="9483" max="9483" width="14" style="227" bestFit="1" customWidth="1"/>
    <col min="9484" max="9728" width="9.140625" style="227"/>
    <col min="9729" max="9729" width="3.42578125" style="227" customWidth="1"/>
    <col min="9730" max="9730" width="37.140625" style="227" customWidth="1"/>
    <col min="9731" max="9731" width="11.42578125" style="227" customWidth="1"/>
    <col min="9732" max="9732" width="12.7109375" style="227" customWidth="1"/>
    <col min="9733" max="9733" width="1.140625" style="227" customWidth="1"/>
    <col min="9734" max="9734" width="2.140625" style="227" customWidth="1"/>
    <col min="9735" max="9735" width="12.7109375" style="227" customWidth="1"/>
    <col min="9736" max="9736" width="9.140625" style="227"/>
    <col min="9737" max="9737" width="14" style="227" bestFit="1" customWidth="1"/>
    <col min="9738" max="9738" width="9.140625" style="227"/>
    <col min="9739" max="9739" width="14" style="227" bestFit="1" customWidth="1"/>
    <col min="9740" max="9984" width="9.140625" style="227"/>
    <col min="9985" max="9985" width="3.42578125" style="227" customWidth="1"/>
    <col min="9986" max="9986" width="37.140625" style="227" customWidth="1"/>
    <col min="9987" max="9987" width="11.42578125" style="227" customWidth="1"/>
    <col min="9988" max="9988" width="12.7109375" style="227" customWidth="1"/>
    <col min="9989" max="9989" width="1.140625" style="227" customWidth="1"/>
    <col min="9990" max="9990" width="2.140625" style="227" customWidth="1"/>
    <col min="9991" max="9991" width="12.7109375" style="227" customWidth="1"/>
    <col min="9992" max="9992" width="9.140625" style="227"/>
    <col min="9993" max="9993" width="14" style="227" bestFit="1" customWidth="1"/>
    <col min="9994" max="9994" width="9.140625" style="227"/>
    <col min="9995" max="9995" width="14" style="227" bestFit="1" customWidth="1"/>
    <col min="9996" max="10240" width="9.140625" style="227"/>
    <col min="10241" max="10241" width="3.42578125" style="227" customWidth="1"/>
    <col min="10242" max="10242" width="37.140625" style="227" customWidth="1"/>
    <col min="10243" max="10243" width="11.42578125" style="227" customWidth="1"/>
    <col min="10244" max="10244" width="12.7109375" style="227" customWidth="1"/>
    <col min="10245" max="10245" width="1.140625" style="227" customWidth="1"/>
    <col min="10246" max="10246" width="2.140625" style="227" customWidth="1"/>
    <col min="10247" max="10247" width="12.7109375" style="227" customWidth="1"/>
    <col min="10248" max="10248" width="9.140625" style="227"/>
    <col min="10249" max="10249" width="14" style="227" bestFit="1" customWidth="1"/>
    <col min="10250" max="10250" width="9.140625" style="227"/>
    <col min="10251" max="10251" width="14" style="227" bestFit="1" customWidth="1"/>
    <col min="10252" max="10496" width="9.140625" style="227"/>
    <col min="10497" max="10497" width="3.42578125" style="227" customWidth="1"/>
    <col min="10498" max="10498" width="37.140625" style="227" customWidth="1"/>
    <col min="10499" max="10499" width="11.42578125" style="227" customWidth="1"/>
    <col min="10500" max="10500" width="12.7109375" style="227" customWidth="1"/>
    <col min="10501" max="10501" width="1.140625" style="227" customWidth="1"/>
    <col min="10502" max="10502" width="2.140625" style="227" customWidth="1"/>
    <col min="10503" max="10503" width="12.7109375" style="227" customWidth="1"/>
    <col min="10504" max="10504" width="9.140625" style="227"/>
    <col min="10505" max="10505" width="14" style="227" bestFit="1" customWidth="1"/>
    <col min="10506" max="10506" width="9.140625" style="227"/>
    <col min="10507" max="10507" width="14" style="227" bestFit="1" customWidth="1"/>
    <col min="10508" max="10752" width="9.140625" style="227"/>
    <col min="10753" max="10753" width="3.42578125" style="227" customWidth="1"/>
    <col min="10754" max="10754" width="37.140625" style="227" customWidth="1"/>
    <col min="10755" max="10755" width="11.42578125" style="227" customWidth="1"/>
    <col min="10756" max="10756" width="12.7109375" style="227" customWidth="1"/>
    <col min="10757" max="10757" width="1.140625" style="227" customWidth="1"/>
    <col min="10758" max="10758" width="2.140625" style="227" customWidth="1"/>
    <col min="10759" max="10759" width="12.7109375" style="227" customWidth="1"/>
    <col min="10760" max="10760" width="9.140625" style="227"/>
    <col min="10761" max="10761" width="14" style="227" bestFit="1" customWidth="1"/>
    <col min="10762" max="10762" width="9.140625" style="227"/>
    <col min="10763" max="10763" width="14" style="227" bestFit="1" customWidth="1"/>
    <col min="10764" max="11008" width="9.140625" style="227"/>
    <col min="11009" max="11009" width="3.42578125" style="227" customWidth="1"/>
    <col min="11010" max="11010" width="37.140625" style="227" customWidth="1"/>
    <col min="11011" max="11011" width="11.42578125" style="227" customWidth="1"/>
    <col min="11012" max="11012" width="12.7109375" style="227" customWidth="1"/>
    <col min="11013" max="11013" width="1.140625" style="227" customWidth="1"/>
    <col min="11014" max="11014" width="2.140625" style="227" customWidth="1"/>
    <col min="11015" max="11015" width="12.7109375" style="227" customWidth="1"/>
    <col min="11016" max="11016" width="9.140625" style="227"/>
    <col min="11017" max="11017" width="14" style="227" bestFit="1" customWidth="1"/>
    <col min="11018" max="11018" width="9.140625" style="227"/>
    <col min="11019" max="11019" width="14" style="227" bestFit="1" customWidth="1"/>
    <col min="11020" max="11264" width="9.140625" style="227"/>
    <col min="11265" max="11265" width="3.42578125" style="227" customWidth="1"/>
    <col min="11266" max="11266" width="37.140625" style="227" customWidth="1"/>
    <col min="11267" max="11267" width="11.42578125" style="227" customWidth="1"/>
    <col min="11268" max="11268" width="12.7109375" style="227" customWidth="1"/>
    <col min="11269" max="11269" width="1.140625" style="227" customWidth="1"/>
    <col min="11270" max="11270" width="2.140625" style="227" customWidth="1"/>
    <col min="11271" max="11271" width="12.7109375" style="227" customWidth="1"/>
    <col min="11272" max="11272" width="9.140625" style="227"/>
    <col min="11273" max="11273" width="14" style="227" bestFit="1" customWidth="1"/>
    <col min="11274" max="11274" width="9.140625" style="227"/>
    <col min="11275" max="11275" width="14" style="227" bestFit="1" customWidth="1"/>
    <col min="11276" max="11520" width="9.140625" style="227"/>
    <col min="11521" max="11521" width="3.42578125" style="227" customWidth="1"/>
    <col min="11522" max="11522" width="37.140625" style="227" customWidth="1"/>
    <col min="11523" max="11523" width="11.42578125" style="227" customWidth="1"/>
    <col min="11524" max="11524" width="12.7109375" style="227" customWidth="1"/>
    <col min="11525" max="11525" width="1.140625" style="227" customWidth="1"/>
    <col min="11526" max="11526" width="2.140625" style="227" customWidth="1"/>
    <col min="11527" max="11527" width="12.7109375" style="227" customWidth="1"/>
    <col min="11528" max="11528" width="9.140625" style="227"/>
    <col min="11529" max="11529" width="14" style="227" bestFit="1" customWidth="1"/>
    <col min="11530" max="11530" width="9.140625" style="227"/>
    <col min="11531" max="11531" width="14" style="227" bestFit="1" customWidth="1"/>
    <col min="11532" max="11776" width="9.140625" style="227"/>
    <col min="11777" max="11777" width="3.42578125" style="227" customWidth="1"/>
    <col min="11778" max="11778" width="37.140625" style="227" customWidth="1"/>
    <col min="11779" max="11779" width="11.42578125" style="227" customWidth="1"/>
    <col min="11780" max="11780" width="12.7109375" style="227" customWidth="1"/>
    <col min="11781" max="11781" width="1.140625" style="227" customWidth="1"/>
    <col min="11782" max="11782" width="2.140625" style="227" customWidth="1"/>
    <col min="11783" max="11783" width="12.7109375" style="227" customWidth="1"/>
    <col min="11784" max="11784" width="9.140625" style="227"/>
    <col min="11785" max="11785" width="14" style="227" bestFit="1" customWidth="1"/>
    <col min="11786" max="11786" width="9.140625" style="227"/>
    <col min="11787" max="11787" width="14" style="227" bestFit="1" customWidth="1"/>
    <col min="11788" max="12032" width="9.140625" style="227"/>
    <col min="12033" max="12033" width="3.42578125" style="227" customWidth="1"/>
    <col min="12034" max="12034" width="37.140625" style="227" customWidth="1"/>
    <col min="12035" max="12035" width="11.42578125" style="227" customWidth="1"/>
    <col min="12036" max="12036" width="12.7109375" style="227" customWidth="1"/>
    <col min="12037" max="12037" width="1.140625" style="227" customWidth="1"/>
    <col min="12038" max="12038" width="2.140625" style="227" customWidth="1"/>
    <col min="12039" max="12039" width="12.7109375" style="227" customWidth="1"/>
    <col min="12040" max="12040" width="9.140625" style="227"/>
    <col min="12041" max="12041" width="14" style="227" bestFit="1" customWidth="1"/>
    <col min="12042" max="12042" width="9.140625" style="227"/>
    <col min="12043" max="12043" width="14" style="227" bestFit="1" customWidth="1"/>
    <col min="12044" max="12288" width="9.140625" style="227"/>
    <col min="12289" max="12289" width="3.42578125" style="227" customWidth="1"/>
    <col min="12290" max="12290" width="37.140625" style="227" customWidth="1"/>
    <col min="12291" max="12291" width="11.42578125" style="227" customWidth="1"/>
    <col min="12292" max="12292" width="12.7109375" style="227" customWidth="1"/>
    <col min="12293" max="12293" width="1.140625" style="227" customWidth="1"/>
    <col min="12294" max="12294" width="2.140625" style="227" customWidth="1"/>
    <col min="12295" max="12295" width="12.7109375" style="227" customWidth="1"/>
    <col min="12296" max="12296" width="9.140625" style="227"/>
    <col min="12297" max="12297" width="14" style="227" bestFit="1" customWidth="1"/>
    <col min="12298" max="12298" width="9.140625" style="227"/>
    <col min="12299" max="12299" width="14" style="227" bestFit="1" customWidth="1"/>
    <col min="12300" max="12544" width="9.140625" style="227"/>
    <col min="12545" max="12545" width="3.42578125" style="227" customWidth="1"/>
    <col min="12546" max="12546" width="37.140625" style="227" customWidth="1"/>
    <col min="12547" max="12547" width="11.42578125" style="227" customWidth="1"/>
    <col min="12548" max="12548" width="12.7109375" style="227" customWidth="1"/>
    <col min="12549" max="12549" width="1.140625" style="227" customWidth="1"/>
    <col min="12550" max="12550" width="2.140625" style="227" customWidth="1"/>
    <col min="12551" max="12551" width="12.7109375" style="227" customWidth="1"/>
    <col min="12552" max="12552" width="9.140625" style="227"/>
    <col min="12553" max="12553" width="14" style="227" bestFit="1" customWidth="1"/>
    <col min="12554" max="12554" width="9.140625" style="227"/>
    <col min="12555" max="12555" width="14" style="227" bestFit="1" customWidth="1"/>
    <col min="12556" max="12800" width="9.140625" style="227"/>
    <col min="12801" max="12801" width="3.42578125" style="227" customWidth="1"/>
    <col min="12802" max="12802" width="37.140625" style="227" customWidth="1"/>
    <col min="12803" max="12803" width="11.42578125" style="227" customWidth="1"/>
    <col min="12804" max="12804" width="12.7109375" style="227" customWidth="1"/>
    <col min="12805" max="12805" width="1.140625" style="227" customWidth="1"/>
    <col min="12806" max="12806" width="2.140625" style="227" customWidth="1"/>
    <col min="12807" max="12807" width="12.7109375" style="227" customWidth="1"/>
    <col min="12808" max="12808" width="9.140625" style="227"/>
    <col min="12809" max="12809" width="14" style="227" bestFit="1" customWidth="1"/>
    <col min="12810" max="12810" width="9.140625" style="227"/>
    <col min="12811" max="12811" width="14" style="227" bestFit="1" customWidth="1"/>
    <col min="12812" max="13056" width="9.140625" style="227"/>
    <col min="13057" max="13057" width="3.42578125" style="227" customWidth="1"/>
    <col min="13058" max="13058" width="37.140625" style="227" customWidth="1"/>
    <col min="13059" max="13059" width="11.42578125" style="227" customWidth="1"/>
    <col min="13060" max="13060" width="12.7109375" style="227" customWidth="1"/>
    <col min="13061" max="13061" width="1.140625" style="227" customWidth="1"/>
    <col min="13062" max="13062" width="2.140625" style="227" customWidth="1"/>
    <col min="13063" max="13063" width="12.7109375" style="227" customWidth="1"/>
    <col min="13064" max="13064" width="9.140625" style="227"/>
    <col min="13065" max="13065" width="14" style="227" bestFit="1" customWidth="1"/>
    <col min="13066" max="13066" width="9.140625" style="227"/>
    <col min="13067" max="13067" width="14" style="227" bestFit="1" customWidth="1"/>
    <col min="13068" max="13312" width="9.140625" style="227"/>
    <col min="13313" max="13313" width="3.42578125" style="227" customWidth="1"/>
    <col min="13314" max="13314" width="37.140625" style="227" customWidth="1"/>
    <col min="13315" max="13315" width="11.42578125" style="227" customWidth="1"/>
    <col min="13316" max="13316" width="12.7109375" style="227" customWidth="1"/>
    <col min="13317" max="13317" width="1.140625" style="227" customWidth="1"/>
    <col min="13318" max="13318" width="2.140625" style="227" customWidth="1"/>
    <col min="13319" max="13319" width="12.7109375" style="227" customWidth="1"/>
    <col min="13320" max="13320" width="9.140625" style="227"/>
    <col min="13321" max="13321" width="14" style="227" bestFit="1" customWidth="1"/>
    <col min="13322" max="13322" width="9.140625" style="227"/>
    <col min="13323" max="13323" width="14" style="227" bestFit="1" customWidth="1"/>
    <col min="13324" max="13568" width="9.140625" style="227"/>
    <col min="13569" max="13569" width="3.42578125" style="227" customWidth="1"/>
    <col min="13570" max="13570" width="37.140625" style="227" customWidth="1"/>
    <col min="13571" max="13571" width="11.42578125" style="227" customWidth="1"/>
    <col min="13572" max="13572" width="12.7109375" style="227" customWidth="1"/>
    <col min="13573" max="13573" width="1.140625" style="227" customWidth="1"/>
    <col min="13574" max="13574" width="2.140625" style="227" customWidth="1"/>
    <col min="13575" max="13575" width="12.7109375" style="227" customWidth="1"/>
    <col min="13576" max="13576" width="9.140625" style="227"/>
    <col min="13577" max="13577" width="14" style="227" bestFit="1" customWidth="1"/>
    <col min="13578" max="13578" width="9.140625" style="227"/>
    <col min="13579" max="13579" width="14" style="227" bestFit="1" customWidth="1"/>
    <col min="13580" max="13824" width="9.140625" style="227"/>
    <col min="13825" max="13825" width="3.42578125" style="227" customWidth="1"/>
    <col min="13826" max="13826" width="37.140625" style="227" customWidth="1"/>
    <col min="13827" max="13827" width="11.42578125" style="227" customWidth="1"/>
    <col min="13828" max="13828" width="12.7109375" style="227" customWidth="1"/>
    <col min="13829" max="13829" width="1.140625" style="227" customWidth="1"/>
    <col min="13830" max="13830" width="2.140625" style="227" customWidth="1"/>
    <col min="13831" max="13831" width="12.7109375" style="227" customWidth="1"/>
    <col min="13832" max="13832" width="9.140625" style="227"/>
    <col min="13833" max="13833" width="14" style="227" bestFit="1" customWidth="1"/>
    <col min="13834" max="13834" width="9.140625" style="227"/>
    <col min="13835" max="13835" width="14" style="227" bestFit="1" customWidth="1"/>
    <col min="13836" max="14080" width="9.140625" style="227"/>
    <col min="14081" max="14081" width="3.42578125" style="227" customWidth="1"/>
    <col min="14082" max="14082" width="37.140625" style="227" customWidth="1"/>
    <col min="14083" max="14083" width="11.42578125" style="227" customWidth="1"/>
    <col min="14084" max="14084" width="12.7109375" style="227" customWidth="1"/>
    <col min="14085" max="14085" width="1.140625" style="227" customWidth="1"/>
    <col min="14086" max="14086" width="2.140625" style="227" customWidth="1"/>
    <col min="14087" max="14087" width="12.7109375" style="227" customWidth="1"/>
    <col min="14088" max="14088" width="9.140625" style="227"/>
    <col min="14089" max="14089" width="14" style="227" bestFit="1" customWidth="1"/>
    <col min="14090" max="14090" width="9.140625" style="227"/>
    <col min="14091" max="14091" width="14" style="227" bestFit="1" customWidth="1"/>
    <col min="14092" max="14336" width="9.140625" style="227"/>
    <col min="14337" max="14337" width="3.42578125" style="227" customWidth="1"/>
    <col min="14338" max="14338" width="37.140625" style="227" customWidth="1"/>
    <col min="14339" max="14339" width="11.42578125" style="227" customWidth="1"/>
    <col min="14340" max="14340" width="12.7109375" style="227" customWidth="1"/>
    <col min="14341" max="14341" width="1.140625" style="227" customWidth="1"/>
    <col min="14342" max="14342" width="2.140625" style="227" customWidth="1"/>
    <col min="14343" max="14343" width="12.7109375" style="227" customWidth="1"/>
    <col min="14344" max="14344" width="9.140625" style="227"/>
    <col min="14345" max="14345" width="14" style="227" bestFit="1" customWidth="1"/>
    <col min="14346" max="14346" width="9.140625" style="227"/>
    <col min="14347" max="14347" width="14" style="227" bestFit="1" customWidth="1"/>
    <col min="14348" max="14592" width="9.140625" style="227"/>
    <col min="14593" max="14593" width="3.42578125" style="227" customWidth="1"/>
    <col min="14594" max="14594" width="37.140625" style="227" customWidth="1"/>
    <col min="14595" max="14595" width="11.42578125" style="227" customWidth="1"/>
    <col min="14596" max="14596" width="12.7109375" style="227" customWidth="1"/>
    <col min="14597" max="14597" width="1.140625" style="227" customWidth="1"/>
    <col min="14598" max="14598" width="2.140625" style="227" customWidth="1"/>
    <col min="14599" max="14599" width="12.7109375" style="227" customWidth="1"/>
    <col min="14600" max="14600" width="9.140625" style="227"/>
    <col min="14601" max="14601" width="14" style="227" bestFit="1" customWidth="1"/>
    <col min="14602" max="14602" width="9.140625" style="227"/>
    <col min="14603" max="14603" width="14" style="227" bestFit="1" customWidth="1"/>
    <col min="14604" max="14848" width="9.140625" style="227"/>
    <col min="14849" max="14849" width="3.42578125" style="227" customWidth="1"/>
    <col min="14850" max="14850" width="37.140625" style="227" customWidth="1"/>
    <col min="14851" max="14851" width="11.42578125" style="227" customWidth="1"/>
    <col min="14852" max="14852" width="12.7109375" style="227" customWidth="1"/>
    <col min="14853" max="14853" width="1.140625" style="227" customWidth="1"/>
    <col min="14854" max="14854" width="2.140625" style="227" customWidth="1"/>
    <col min="14855" max="14855" width="12.7109375" style="227" customWidth="1"/>
    <col min="14856" max="14856" width="9.140625" style="227"/>
    <col min="14857" max="14857" width="14" style="227" bestFit="1" customWidth="1"/>
    <col min="14858" max="14858" width="9.140625" style="227"/>
    <col min="14859" max="14859" width="14" style="227" bestFit="1" customWidth="1"/>
    <col min="14860" max="15104" width="9.140625" style="227"/>
    <col min="15105" max="15105" width="3.42578125" style="227" customWidth="1"/>
    <col min="15106" max="15106" width="37.140625" style="227" customWidth="1"/>
    <col min="15107" max="15107" width="11.42578125" style="227" customWidth="1"/>
    <col min="15108" max="15108" width="12.7109375" style="227" customWidth="1"/>
    <col min="15109" max="15109" width="1.140625" style="227" customWidth="1"/>
    <col min="15110" max="15110" width="2.140625" style="227" customWidth="1"/>
    <col min="15111" max="15111" width="12.7109375" style="227" customWidth="1"/>
    <col min="15112" max="15112" width="9.140625" style="227"/>
    <col min="15113" max="15113" width="14" style="227" bestFit="1" customWidth="1"/>
    <col min="15114" max="15114" width="9.140625" style="227"/>
    <col min="15115" max="15115" width="14" style="227" bestFit="1" customWidth="1"/>
    <col min="15116" max="15360" width="9.140625" style="227"/>
    <col min="15361" max="15361" width="3.42578125" style="227" customWidth="1"/>
    <col min="15362" max="15362" width="37.140625" style="227" customWidth="1"/>
    <col min="15363" max="15363" width="11.42578125" style="227" customWidth="1"/>
    <col min="15364" max="15364" width="12.7109375" style="227" customWidth="1"/>
    <col min="15365" max="15365" width="1.140625" style="227" customWidth="1"/>
    <col min="15366" max="15366" width="2.140625" style="227" customWidth="1"/>
    <col min="15367" max="15367" width="12.7109375" style="227" customWidth="1"/>
    <col min="15368" max="15368" width="9.140625" style="227"/>
    <col min="15369" max="15369" width="14" style="227" bestFit="1" customWidth="1"/>
    <col min="15370" max="15370" width="9.140625" style="227"/>
    <col min="15371" max="15371" width="14" style="227" bestFit="1" customWidth="1"/>
    <col min="15372" max="15616" width="9.140625" style="227"/>
    <col min="15617" max="15617" width="3.42578125" style="227" customWidth="1"/>
    <col min="15618" max="15618" width="37.140625" style="227" customWidth="1"/>
    <col min="15619" max="15619" width="11.42578125" style="227" customWidth="1"/>
    <col min="15620" max="15620" width="12.7109375" style="227" customWidth="1"/>
    <col min="15621" max="15621" width="1.140625" style="227" customWidth="1"/>
    <col min="15622" max="15622" width="2.140625" style="227" customWidth="1"/>
    <col min="15623" max="15623" width="12.7109375" style="227" customWidth="1"/>
    <col min="15624" max="15624" width="9.140625" style="227"/>
    <col min="15625" max="15625" width="14" style="227" bestFit="1" customWidth="1"/>
    <col min="15626" max="15626" width="9.140625" style="227"/>
    <col min="15627" max="15627" width="14" style="227" bestFit="1" customWidth="1"/>
    <col min="15628" max="15872" width="9.140625" style="227"/>
    <col min="15873" max="15873" width="3.42578125" style="227" customWidth="1"/>
    <col min="15874" max="15874" width="37.140625" style="227" customWidth="1"/>
    <col min="15875" max="15875" width="11.42578125" style="227" customWidth="1"/>
    <col min="15876" max="15876" width="12.7109375" style="227" customWidth="1"/>
    <col min="15877" max="15877" width="1.140625" style="227" customWidth="1"/>
    <col min="15878" max="15878" width="2.140625" style="227" customWidth="1"/>
    <col min="15879" max="15879" width="12.7109375" style="227" customWidth="1"/>
    <col min="15880" max="15880" width="9.140625" style="227"/>
    <col min="15881" max="15881" width="14" style="227" bestFit="1" customWidth="1"/>
    <col min="15882" max="15882" width="9.140625" style="227"/>
    <col min="15883" max="15883" width="14" style="227" bestFit="1" customWidth="1"/>
    <col min="15884" max="16128" width="9.140625" style="227"/>
    <col min="16129" max="16129" width="3.42578125" style="227" customWidth="1"/>
    <col min="16130" max="16130" width="37.140625" style="227" customWidth="1"/>
    <col min="16131" max="16131" width="11.42578125" style="227" customWidth="1"/>
    <col min="16132" max="16132" width="12.7109375" style="227" customWidth="1"/>
    <col min="16133" max="16133" width="1.140625" style="227" customWidth="1"/>
    <col min="16134" max="16134" width="2.140625" style="227" customWidth="1"/>
    <col min="16135" max="16135" width="12.7109375" style="227" customWidth="1"/>
    <col min="16136" max="16136" width="9.140625" style="227"/>
    <col min="16137" max="16137" width="14" style="227" bestFit="1" customWidth="1"/>
    <col min="16138" max="16138" width="9.140625" style="227"/>
    <col min="16139" max="16139" width="14" style="227" bestFit="1" customWidth="1"/>
    <col min="16140" max="16384" width="9.140625" style="227"/>
  </cols>
  <sheetData>
    <row r="1" spans="1:11">
      <c r="A1" s="174" t="s">
        <v>197</v>
      </c>
      <c r="B1" s="174"/>
    </row>
    <row r="4" spans="1:11">
      <c r="A4" s="436" t="s">
        <v>268</v>
      </c>
      <c r="B4" s="436"/>
      <c r="C4" s="436"/>
      <c r="D4" s="436"/>
      <c r="E4" s="436"/>
      <c r="F4" s="436"/>
      <c r="G4" s="436"/>
    </row>
    <row r="6" spans="1:11" s="229" customFormat="1">
      <c r="A6" s="437" t="s">
        <v>177</v>
      </c>
      <c r="B6" s="437"/>
      <c r="C6" s="437"/>
      <c r="D6" s="437"/>
      <c r="E6" s="437"/>
      <c r="F6" s="437"/>
      <c r="G6" s="437"/>
      <c r="I6" s="230"/>
      <c r="K6" s="230"/>
    </row>
    <row r="7" spans="1:11" s="229" customFormat="1">
      <c r="A7" s="174"/>
      <c r="B7" s="174"/>
      <c r="C7" s="177"/>
      <c r="D7" s="231"/>
      <c r="E7" s="232"/>
      <c r="F7" s="233"/>
      <c r="I7" s="230"/>
      <c r="K7" s="230"/>
    </row>
    <row r="8" spans="1:11" s="229" customFormat="1">
      <c r="A8" s="174"/>
      <c r="B8" s="174"/>
      <c r="C8" s="177"/>
      <c r="D8" s="231"/>
      <c r="E8" s="232"/>
      <c r="F8" s="233"/>
      <c r="I8" s="230"/>
      <c r="K8" s="230"/>
    </row>
    <row r="9" spans="1:11">
      <c r="D9" s="443" t="s">
        <v>178</v>
      </c>
      <c r="E9" s="443"/>
      <c r="F9" s="443"/>
      <c r="G9" s="443"/>
      <c r="I9" s="228" t="s">
        <v>10</v>
      </c>
      <c r="K9" s="228" t="s">
        <v>10</v>
      </c>
    </row>
    <row r="10" spans="1:11">
      <c r="A10" s="227" t="s">
        <v>269</v>
      </c>
      <c r="C10" s="177" t="s">
        <v>46</v>
      </c>
      <c r="D10" s="234">
        <v>2011</v>
      </c>
      <c r="E10" s="235"/>
      <c r="F10" s="234">
        <v>2010</v>
      </c>
      <c r="G10" s="234">
        <v>2011</v>
      </c>
    </row>
    <row r="11" spans="1:11">
      <c r="C11" s="236"/>
      <c r="D11" s="237"/>
      <c r="E11" s="235"/>
      <c r="F11" s="237"/>
    </row>
    <row r="12" spans="1:11" ht="13.5" customHeight="1">
      <c r="A12" s="227" t="s">
        <v>270</v>
      </c>
      <c r="C12" s="224">
        <v>11</v>
      </c>
      <c r="D12" s="225">
        <f>'[7]Gjendja e llogarive 2012'!E57</f>
        <v>553155.66</v>
      </c>
      <c r="E12" s="238"/>
      <c r="G12" s="239">
        <v>521737.18</v>
      </c>
      <c r="I12" s="228">
        <f>+D12*140</f>
        <v>77441792.400000006</v>
      </c>
      <c r="K12" s="228">
        <f>+G12*138.93</f>
        <v>72484946.417400002</v>
      </c>
    </row>
    <row r="13" spans="1:11" ht="0.75" hidden="1" customHeight="1">
      <c r="A13" s="227" t="s">
        <v>271</v>
      </c>
      <c r="D13" s="238"/>
      <c r="E13" s="238"/>
      <c r="F13" s="238"/>
      <c r="G13" s="239"/>
      <c r="I13" s="228">
        <f t="shared" ref="I13:I52" si="0">+D13*140</f>
        <v>0</v>
      </c>
      <c r="K13" s="228">
        <f t="shared" ref="K13:K52" si="1">+G13*138.93</f>
        <v>0</v>
      </c>
    </row>
    <row r="14" spans="1:11" hidden="1">
      <c r="A14" s="229" t="s">
        <v>272</v>
      </c>
      <c r="D14" s="238"/>
      <c r="E14" s="238"/>
      <c r="F14" s="238"/>
      <c r="G14" s="239"/>
      <c r="I14" s="228">
        <f t="shared" si="0"/>
        <v>0</v>
      </c>
      <c r="K14" s="228">
        <f t="shared" si="1"/>
        <v>0</v>
      </c>
    </row>
    <row r="15" spans="1:11" hidden="1">
      <c r="A15" s="229" t="s">
        <v>273</v>
      </c>
      <c r="D15" s="238"/>
      <c r="E15" s="238"/>
      <c r="F15" s="238"/>
      <c r="G15" s="239"/>
      <c r="I15" s="228">
        <f t="shared" si="0"/>
        <v>0</v>
      </c>
      <c r="K15" s="228">
        <f t="shared" si="1"/>
        <v>0</v>
      </c>
    </row>
    <row r="16" spans="1:11">
      <c r="A16" s="227" t="s">
        <v>274</v>
      </c>
      <c r="D16" s="238">
        <f>-'[7]Gjendja e llogarive 2012'!D41</f>
        <v>-174972.7</v>
      </c>
      <c r="E16" s="238"/>
      <c r="F16" s="238"/>
      <c r="G16" s="239">
        <v>-96249</v>
      </c>
      <c r="I16" s="228">
        <f t="shared" si="0"/>
        <v>-24496178</v>
      </c>
      <c r="K16" s="228">
        <f t="shared" si="1"/>
        <v>-13371873.57</v>
      </c>
    </row>
    <row r="17" spans="1:11">
      <c r="A17" s="227" t="s">
        <v>275</v>
      </c>
      <c r="C17" s="224">
        <v>12</v>
      </c>
      <c r="D17" s="238">
        <f>-('[7]Gjendja e llogarive 2012'!D42+'[7]Gjendja e llogarive 2012'!D43+'[7]Gjendja e llogarive 2012'!D44+'[7]Gjendja e llogarive 2012'!D45+'[7]Gjendja e llogarive 2012'!D46+'[7]Gjendja e llogarive 2012'!D47+'[7]Gjendja e llogarive 2012'!D48+'[7]Gjendja e llogarive 2012'!D49+'[7]Gjendja e llogarive 2012'!D51+'[7]Gjendja e llogarive 2012'!D52+'[7]Gjendja e llogarive 2012'!D54+'[7]Gjendja e llogarive 2012'!D55)</f>
        <v>-44393.459999999992</v>
      </c>
      <c r="E17" s="238"/>
      <c r="F17" s="238"/>
      <c r="G17" s="239">
        <v>-68969.070000000007</v>
      </c>
      <c r="I17" s="228">
        <f t="shared" si="0"/>
        <v>-6215084.3999999985</v>
      </c>
      <c r="K17" s="228">
        <f t="shared" si="1"/>
        <v>-9581872.8951000012</v>
      </c>
    </row>
    <row r="18" spans="1:11">
      <c r="A18" s="227" t="s">
        <v>276</v>
      </c>
      <c r="D18" s="238">
        <f>SUM(D19:D21)</f>
        <v>-51351.05</v>
      </c>
      <c r="E18" s="238">
        <f>SUM(E19:E21)</f>
        <v>0</v>
      </c>
      <c r="F18" s="238">
        <f>SUM(F19:F21)</f>
        <v>0</v>
      </c>
      <c r="G18" s="240">
        <v>-33763.629999999997</v>
      </c>
      <c r="I18" s="228">
        <f t="shared" si="0"/>
        <v>-7189147</v>
      </c>
      <c r="K18" s="228">
        <f t="shared" si="1"/>
        <v>-4690781.1158999996</v>
      </c>
    </row>
    <row r="19" spans="1:11" ht="13.5" customHeight="1">
      <c r="B19" s="241" t="s">
        <v>277</v>
      </c>
      <c r="D19" s="242">
        <f>-'[7]Gjendja e llogarive 2012'!D53</f>
        <v>-51351.05</v>
      </c>
      <c r="E19" s="238"/>
      <c r="F19" s="238"/>
      <c r="G19" s="239">
        <v>-33763.629999999997</v>
      </c>
      <c r="I19" s="228">
        <f t="shared" si="0"/>
        <v>-7189147</v>
      </c>
      <c r="K19" s="228">
        <f t="shared" si="1"/>
        <v>-4690781.1158999996</v>
      </c>
    </row>
    <row r="20" spans="1:11" hidden="1">
      <c r="A20" s="181"/>
      <c r="B20" s="241" t="s">
        <v>278</v>
      </c>
      <c r="D20" s="242"/>
      <c r="E20" s="238"/>
      <c r="F20" s="238"/>
      <c r="G20" s="239"/>
      <c r="I20" s="228">
        <f t="shared" si="0"/>
        <v>0</v>
      </c>
      <c r="K20" s="228">
        <f t="shared" si="1"/>
        <v>0</v>
      </c>
    </row>
    <row r="21" spans="1:11" ht="14.25" customHeight="1">
      <c r="B21" s="241" t="s">
        <v>279</v>
      </c>
      <c r="D21" s="242">
        <v>0</v>
      </c>
      <c r="E21" s="238"/>
      <c r="F21" s="238"/>
      <c r="G21" s="239">
        <v>0</v>
      </c>
      <c r="I21" s="228">
        <f t="shared" si="0"/>
        <v>0</v>
      </c>
      <c r="K21" s="228">
        <f t="shared" si="1"/>
        <v>0</v>
      </c>
    </row>
    <row r="22" spans="1:11" hidden="1">
      <c r="A22" s="227" t="s">
        <v>280</v>
      </c>
      <c r="D22" s="238">
        <v>0</v>
      </c>
      <c r="E22" s="238"/>
      <c r="F22" s="238"/>
      <c r="G22" s="239">
        <v>0</v>
      </c>
      <c r="I22" s="228">
        <f t="shared" si="0"/>
        <v>0</v>
      </c>
      <c r="K22" s="228">
        <f t="shared" si="1"/>
        <v>0</v>
      </c>
    </row>
    <row r="23" spans="1:11">
      <c r="A23" s="181" t="s">
        <v>281</v>
      </c>
      <c r="D23" s="243">
        <f>D12+D17+D18+D22+D16</f>
        <v>282438.45000000007</v>
      </c>
      <c r="E23" s="238">
        <f>E12+E17+E18+E22</f>
        <v>0</v>
      </c>
      <c r="F23" s="243">
        <f>F12+F17+F18+F22</f>
        <v>0</v>
      </c>
      <c r="G23" s="244">
        <f>G12+G17+G18+G22+G16</f>
        <v>322755.48</v>
      </c>
      <c r="I23" s="228">
        <f t="shared" si="0"/>
        <v>39541383.000000007</v>
      </c>
      <c r="K23" s="228">
        <f t="shared" si="1"/>
        <v>44840418.836400002</v>
      </c>
    </row>
    <row r="24" spans="1:11" ht="11.25" customHeight="1">
      <c r="D24" s="238"/>
      <c r="E24" s="238"/>
      <c r="F24" s="238"/>
      <c r="G24" s="239"/>
      <c r="I24" s="228">
        <f t="shared" si="0"/>
        <v>0</v>
      </c>
      <c r="K24" s="228">
        <f t="shared" si="1"/>
        <v>0</v>
      </c>
    </row>
    <row r="25" spans="1:11" hidden="1">
      <c r="A25" s="227" t="s">
        <v>282</v>
      </c>
      <c r="B25" s="245"/>
      <c r="D25" s="238"/>
      <c r="E25" s="238"/>
      <c r="F25" s="238"/>
      <c r="G25" s="239"/>
      <c r="I25" s="228">
        <f t="shared" si="0"/>
        <v>0</v>
      </c>
      <c r="K25" s="228">
        <f t="shared" si="1"/>
        <v>0</v>
      </c>
    </row>
    <row r="26" spans="1:11" hidden="1">
      <c r="A26" s="227" t="s">
        <v>283</v>
      </c>
      <c r="B26" s="241"/>
      <c r="D26" s="238"/>
      <c r="E26" s="238"/>
      <c r="F26" s="238"/>
      <c r="G26" s="239"/>
      <c r="I26" s="228">
        <f t="shared" si="0"/>
        <v>0</v>
      </c>
      <c r="K26" s="228">
        <f t="shared" si="1"/>
        <v>0</v>
      </c>
    </row>
    <row r="27" spans="1:11">
      <c r="A27" s="229" t="s">
        <v>284</v>
      </c>
      <c r="B27" s="241"/>
      <c r="D27" s="238"/>
      <c r="E27" s="238"/>
      <c r="F27" s="238"/>
      <c r="G27" s="239"/>
      <c r="I27" s="228">
        <f t="shared" si="0"/>
        <v>0</v>
      </c>
      <c r="K27" s="228">
        <f t="shared" si="1"/>
        <v>0</v>
      </c>
    </row>
    <row r="28" spans="1:11" hidden="1">
      <c r="B28" s="241" t="s">
        <v>285</v>
      </c>
      <c r="D28" s="238"/>
      <c r="E28" s="238"/>
      <c r="F28" s="238"/>
      <c r="G28" s="239"/>
      <c r="I28" s="228">
        <f t="shared" si="0"/>
        <v>0</v>
      </c>
      <c r="K28" s="228">
        <f t="shared" si="1"/>
        <v>0</v>
      </c>
    </row>
    <row r="29" spans="1:11">
      <c r="B29" s="241" t="s">
        <v>286</v>
      </c>
      <c r="D29" s="242">
        <f>'[7]Gjendja e llogarive 2012'!E58</f>
        <v>4.07</v>
      </c>
      <c r="E29" s="238"/>
      <c r="F29" s="238"/>
      <c r="G29" s="242">
        <v>2.4900000000000002</v>
      </c>
      <c r="I29" s="228">
        <f t="shared" si="0"/>
        <v>569.80000000000007</v>
      </c>
      <c r="K29" s="228">
        <f t="shared" si="1"/>
        <v>345.93570000000005</v>
      </c>
    </row>
    <row r="30" spans="1:11" hidden="1">
      <c r="B30" s="241" t="s">
        <v>287</v>
      </c>
      <c r="D30" s="238"/>
      <c r="E30" s="238"/>
      <c r="F30" s="238"/>
      <c r="G30" s="238"/>
      <c r="I30" s="228">
        <f t="shared" si="0"/>
        <v>0</v>
      </c>
      <c r="K30" s="228">
        <f t="shared" si="1"/>
        <v>0</v>
      </c>
    </row>
    <row r="31" spans="1:11">
      <c r="B31" s="241" t="s">
        <v>288</v>
      </c>
      <c r="D31" s="242">
        <f>-'[7]Gjendja e llogarive 2012'!D50</f>
        <v>-251.6</v>
      </c>
      <c r="E31" s="238"/>
      <c r="F31" s="238"/>
      <c r="G31" s="242">
        <v>-252.11</v>
      </c>
      <c r="I31" s="228">
        <f t="shared" si="0"/>
        <v>-35224</v>
      </c>
      <c r="K31" s="228">
        <f t="shared" si="1"/>
        <v>-35025.642300000007</v>
      </c>
    </row>
    <row r="32" spans="1:11">
      <c r="A32" s="229" t="s">
        <v>289</v>
      </c>
      <c r="D32" s="246">
        <f>SUM(D28:D31)</f>
        <v>-247.53</v>
      </c>
      <c r="E32" s="238"/>
      <c r="F32" s="246"/>
      <c r="G32" s="247">
        <f>SUM(G29:G31)</f>
        <v>-249.62</v>
      </c>
      <c r="I32" s="228">
        <f t="shared" si="0"/>
        <v>-34654.199999999997</v>
      </c>
      <c r="K32" s="228">
        <f t="shared" si="1"/>
        <v>-34679.706600000005</v>
      </c>
    </row>
    <row r="33" spans="1:11">
      <c r="D33" s="238"/>
      <c r="E33" s="238"/>
      <c r="F33" s="238"/>
      <c r="G33" s="239"/>
      <c r="I33" s="228">
        <f t="shared" si="0"/>
        <v>0</v>
      </c>
      <c r="K33" s="228">
        <f t="shared" si="1"/>
        <v>0</v>
      </c>
    </row>
    <row r="34" spans="1:11">
      <c r="A34" s="181" t="s">
        <v>290</v>
      </c>
      <c r="D34" s="243">
        <f>D23+D32</f>
        <v>282190.92000000004</v>
      </c>
      <c r="E34" s="238">
        <f>E23+E32</f>
        <v>0</v>
      </c>
      <c r="F34" s="243">
        <f>F23+F32</f>
        <v>0</v>
      </c>
      <c r="G34" s="244">
        <f>G23+G32</f>
        <v>322505.86</v>
      </c>
      <c r="I34" s="228">
        <f t="shared" si="0"/>
        <v>39506728.800000004</v>
      </c>
      <c r="K34" s="228">
        <f t="shared" si="1"/>
        <v>44805739.129799999</v>
      </c>
    </row>
    <row r="35" spans="1:11" ht="11.25" customHeight="1">
      <c r="A35" s="181"/>
      <c r="D35" s="238"/>
      <c r="E35" s="238"/>
      <c r="F35" s="238"/>
      <c r="G35" s="239"/>
      <c r="I35" s="228">
        <f t="shared" si="0"/>
        <v>0</v>
      </c>
      <c r="K35" s="228">
        <f t="shared" si="1"/>
        <v>0</v>
      </c>
    </row>
    <row r="36" spans="1:11">
      <c r="A36" s="181"/>
      <c r="D36" s="238"/>
      <c r="E36" s="238"/>
      <c r="F36" s="238"/>
      <c r="G36" s="239"/>
      <c r="I36" s="228">
        <f t="shared" si="0"/>
        <v>0</v>
      </c>
      <c r="K36" s="228">
        <f t="shared" si="1"/>
        <v>0</v>
      </c>
    </row>
    <row r="37" spans="1:11">
      <c r="A37" s="227" t="s">
        <v>291</v>
      </c>
      <c r="D37" s="238">
        <f>D50</f>
        <v>-29129.606000000007</v>
      </c>
      <c r="E37" s="238"/>
      <c r="F37" s="238"/>
      <c r="G37" s="239">
        <v>-33626.93</v>
      </c>
      <c r="I37" s="228">
        <f t="shared" si="0"/>
        <v>-4078144.8400000008</v>
      </c>
      <c r="K37" s="228">
        <f t="shared" si="1"/>
        <v>-4671789.3848999999</v>
      </c>
    </row>
    <row r="38" spans="1:11">
      <c r="D38" s="238"/>
      <c r="E38" s="238"/>
      <c r="F38" s="238"/>
      <c r="G38" s="239"/>
      <c r="I38" s="228">
        <f t="shared" si="0"/>
        <v>0</v>
      </c>
      <c r="K38" s="228">
        <f t="shared" si="1"/>
        <v>0</v>
      </c>
    </row>
    <row r="39" spans="1:11" ht="13.5" thickBot="1">
      <c r="A39" s="181" t="s">
        <v>292</v>
      </c>
      <c r="C39" s="224">
        <v>13</v>
      </c>
      <c r="D39" s="248">
        <f>D34+D37</f>
        <v>253061.31400000004</v>
      </c>
      <c r="E39" s="238">
        <f>E34+E37</f>
        <v>0</v>
      </c>
      <c r="F39" s="248">
        <f>F34+F37</f>
        <v>0</v>
      </c>
      <c r="G39" s="249">
        <f>G34+G37</f>
        <v>288878.93</v>
      </c>
      <c r="I39" s="228">
        <f t="shared" si="0"/>
        <v>35428583.960000008</v>
      </c>
      <c r="K39" s="228">
        <f t="shared" si="1"/>
        <v>40133949.744900003</v>
      </c>
    </row>
    <row r="40" spans="1:11" ht="13.5" thickTop="1">
      <c r="D40" s="238"/>
      <c r="E40" s="238"/>
      <c r="F40" s="238"/>
      <c r="G40" s="225"/>
      <c r="I40" s="228">
        <f t="shared" si="0"/>
        <v>0</v>
      </c>
      <c r="K40" s="228">
        <f t="shared" si="1"/>
        <v>0</v>
      </c>
    </row>
    <row r="41" spans="1:11">
      <c r="D41" s="250"/>
      <c r="F41" s="238"/>
      <c r="G41" s="228"/>
      <c r="I41" s="228">
        <f t="shared" si="0"/>
        <v>0</v>
      </c>
      <c r="K41" s="228">
        <f t="shared" si="1"/>
        <v>0</v>
      </c>
    </row>
    <row r="42" spans="1:11">
      <c r="D42" s="250"/>
      <c r="F42" s="238"/>
      <c r="G42" s="228"/>
      <c r="I42" s="228">
        <f t="shared" si="0"/>
        <v>0</v>
      </c>
      <c r="K42" s="228">
        <f t="shared" si="1"/>
        <v>0</v>
      </c>
    </row>
    <row r="43" spans="1:11">
      <c r="D43" s="250"/>
      <c r="F43" s="238"/>
      <c r="G43" s="228"/>
      <c r="I43" s="228">
        <f t="shared" si="0"/>
        <v>0</v>
      </c>
      <c r="K43" s="228">
        <f t="shared" si="1"/>
        <v>0</v>
      </c>
    </row>
    <row r="44" spans="1:11">
      <c r="A44" s="181" t="s">
        <v>290</v>
      </c>
      <c r="D44" s="243">
        <f>D34</f>
        <v>282190.92000000004</v>
      </c>
      <c r="F44" s="238"/>
      <c r="G44" s="228"/>
      <c r="I44" s="228">
        <f t="shared" si="0"/>
        <v>39506728.800000004</v>
      </c>
      <c r="K44" s="228">
        <f t="shared" si="1"/>
        <v>0</v>
      </c>
    </row>
    <row r="45" spans="1:11">
      <c r="A45" s="181"/>
      <c r="D45" s="238"/>
      <c r="F45" s="238"/>
      <c r="G45" s="228"/>
      <c r="I45" s="228">
        <f t="shared" si="0"/>
        <v>0</v>
      </c>
      <c r="K45" s="228">
        <f t="shared" si="1"/>
        <v>0</v>
      </c>
    </row>
    <row r="46" spans="1:11">
      <c r="A46" s="229" t="s">
        <v>293</v>
      </c>
      <c r="D46" s="238">
        <f>'[7]Shpenzimet e pazbritshme 2012'!F274</f>
        <v>9105.14</v>
      </c>
      <c r="F46" s="238"/>
      <c r="G46" s="228"/>
      <c r="I46" s="228">
        <f t="shared" si="0"/>
        <v>1274719.5999999999</v>
      </c>
      <c r="K46" s="228">
        <f t="shared" si="1"/>
        <v>0</v>
      </c>
    </row>
    <row r="47" spans="1:11">
      <c r="A47" s="181"/>
      <c r="D47" s="238"/>
      <c r="F47" s="238"/>
      <c r="G47" s="228"/>
      <c r="I47" s="228">
        <f t="shared" si="0"/>
        <v>0</v>
      </c>
      <c r="K47" s="228">
        <f t="shared" si="1"/>
        <v>0</v>
      </c>
    </row>
    <row r="48" spans="1:11">
      <c r="A48" s="181" t="s">
        <v>294</v>
      </c>
      <c r="D48" s="238">
        <f>D44+D46</f>
        <v>291296.06000000006</v>
      </c>
      <c r="F48" s="238"/>
      <c r="G48" s="228"/>
      <c r="I48" s="228">
        <f t="shared" si="0"/>
        <v>40781448.400000006</v>
      </c>
      <c r="K48" s="228">
        <f t="shared" si="1"/>
        <v>0</v>
      </c>
    </row>
    <row r="49" spans="1:11">
      <c r="A49" s="181"/>
      <c r="D49" s="238"/>
      <c r="F49" s="238"/>
      <c r="G49" s="228"/>
      <c r="I49" s="228">
        <f t="shared" si="0"/>
        <v>0</v>
      </c>
      <c r="K49" s="228">
        <f t="shared" si="1"/>
        <v>0</v>
      </c>
    </row>
    <row r="50" spans="1:11">
      <c r="A50" s="227" t="s">
        <v>291</v>
      </c>
      <c r="D50" s="238">
        <f>-D48*10%</f>
        <v>-29129.606000000007</v>
      </c>
      <c r="F50" s="238"/>
      <c r="G50" s="228"/>
      <c r="I50" s="228">
        <f t="shared" si="0"/>
        <v>-4078144.8400000008</v>
      </c>
      <c r="K50" s="228">
        <f t="shared" si="1"/>
        <v>0</v>
      </c>
    </row>
    <row r="51" spans="1:11">
      <c r="D51" s="238"/>
      <c r="F51" s="238"/>
      <c r="G51" s="228"/>
      <c r="I51" s="228">
        <f t="shared" si="0"/>
        <v>0</v>
      </c>
      <c r="K51" s="228">
        <f t="shared" si="1"/>
        <v>0</v>
      </c>
    </row>
    <row r="52" spans="1:11" ht="13.5" thickBot="1">
      <c r="A52" s="181" t="s">
        <v>292</v>
      </c>
      <c r="D52" s="248">
        <f>D44+D50</f>
        <v>253061.31400000004</v>
      </c>
      <c r="G52" s="228"/>
      <c r="I52" s="228">
        <f t="shared" si="0"/>
        <v>35428583.960000008</v>
      </c>
      <c r="K52" s="228">
        <f t="shared" si="1"/>
        <v>0</v>
      </c>
    </row>
    <row r="53" spans="1:11" ht="13.5" thickTop="1">
      <c r="G53" s="228"/>
    </row>
    <row r="54" spans="1:11">
      <c r="G54" s="228"/>
    </row>
    <row r="55" spans="1:11">
      <c r="G55" s="228"/>
    </row>
    <row r="56" spans="1:11">
      <c r="G56" s="228"/>
    </row>
    <row r="57" spans="1:11">
      <c r="G57" s="228"/>
    </row>
    <row r="58" spans="1:11">
      <c r="G58" s="228"/>
    </row>
    <row r="59" spans="1:11">
      <c r="G59" s="228"/>
    </row>
    <row r="60" spans="1:11">
      <c r="G60" s="228"/>
    </row>
    <row r="61" spans="1:11">
      <c r="G61" s="228"/>
    </row>
    <row r="62" spans="1:11">
      <c r="G62" s="228"/>
    </row>
    <row r="63" spans="1:11">
      <c r="G63" s="228"/>
    </row>
    <row r="64" spans="1:11">
      <c r="G64" s="228"/>
    </row>
    <row r="65" spans="7:7">
      <c r="G65" s="228"/>
    </row>
    <row r="66" spans="7:7">
      <c r="G66" s="225"/>
    </row>
    <row r="67" spans="7:7">
      <c r="G67" s="225"/>
    </row>
    <row r="68" spans="7:7">
      <c r="G68" s="225"/>
    </row>
    <row r="69" spans="7:7">
      <c r="G69" s="225"/>
    </row>
    <row r="70" spans="7:7">
      <c r="G70" s="225"/>
    </row>
    <row r="71" spans="7:7">
      <c r="G71" s="225"/>
    </row>
    <row r="72" spans="7:7">
      <c r="G72" s="225"/>
    </row>
    <row r="73" spans="7:7">
      <c r="G73" s="225"/>
    </row>
    <row r="74" spans="7:7">
      <c r="G74" s="225"/>
    </row>
    <row r="75" spans="7:7">
      <c r="G75" s="225"/>
    </row>
    <row r="76" spans="7:7">
      <c r="G76" s="225"/>
    </row>
    <row r="77" spans="7:7">
      <c r="G77" s="225"/>
    </row>
    <row r="78" spans="7:7">
      <c r="G78" s="225"/>
    </row>
    <row r="79" spans="7:7">
      <c r="G79" s="225"/>
    </row>
    <row r="80" spans="7:7">
      <c r="G80" s="225"/>
    </row>
    <row r="81" spans="7:7">
      <c r="G81" s="225"/>
    </row>
    <row r="82" spans="7:7">
      <c r="G82" s="225"/>
    </row>
    <row r="83" spans="7:7">
      <c r="G83" s="225"/>
    </row>
    <row r="84" spans="7:7">
      <c r="G84" s="225"/>
    </row>
    <row r="85" spans="7:7">
      <c r="G85" s="225"/>
    </row>
    <row r="86" spans="7:7">
      <c r="G86" s="225"/>
    </row>
    <row r="87" spans="7:7">
      <c r="G87" s="225"/>
    </row>
    <row r="88" spans="7:7">
      <c r="G88" s="225"/>
    </row>
    <row r="89" spans="7:7">
      <c r="G89" s="225"/>
    </row>
    <row r="90" spans="7:7">
      <c r="G90" s="225"/>
    </row>
    <row r="91" spans="7:7">
      <c r="G91" s="225"/>
    </row>
    <row r="92" spans="7:7">
      <c r="G92" s="225"/>
    </row>
    <row r="93" spans="7:7">
      <c r="G93" s="225"/>
    </row>
    <row r="94" spans="7:7">
      <c r="G94" s="225"/>
    </row>
    <row r="95" spans="7:7">
      <c r="G95" s="225"/>
    </row>
    <row r="96" spans="7:7">
      <c r="G96" s="225"/>
    </row>
    <row r="97" spans="7:7">
      <c r="G97" s="225"/>
    </row>
    <row r="98" spans="7:7">
      <c r="G98" s="225"/>
    </row>
    <row r="99" spans="7:7">
      <c r="G99" s="225"/>
    </row>
    <row r="100" spans="7:7">
      <c r="G100" s="225"/>
    </row>
    <row r="101" spans="7:7">
      <c r="G101" s="225"/>
    </row>
  </sheetData>
  <mergeCells count="3">
    <mergeCell ref="A4:G4"/>
    <mergeCell ref="A6:G6"/>
    <mergeCell ref="D9:G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J11" sqref="J11"/>
    </sheetView>
  </sheetViews>
  <sheetFormatPr defaultRowHeight="12.75"/>
  <cols>
    <col min="1" max="1" width="9.140625" style="227"/>
    <col min="2" max="2" width="46.5703125" style="227" customWidth="1"/>
    <col min="3" max="3" width="12.7109375" style="225" customWidth="1"/>
    <col min="4" max="4" width="1.7109375" style="238" customWidth="1"/>
    <col min="5" max="5" width="12.7109375" style="225" hidden="1" customWidth="1"/>
    <col min="6" max="6" width="12.7109375" style="225" customWidth="1"/>
    <col min="7" max="7" width="9.140625" style="227"/>
    <col min="8" max="8" width="14.5703125" style="227" bestFit="1" customWidth="1"/>
    <col min="9" max="9" width="9.140625" style="227"/>
    <col min="10" max="10" width="14" style="228" bestFit="1" customWidth="1"/>
    <col min="11" max="257" width="9.140625" style="227"/>
    <col min="258" max="258" width="46.5703125" style="227" customWidth="1"/>
    <col min="259" max="259" width="12.7109375" style="227" customWidth="1"/>
    <col min="260" max="260" width="1.7109375" style="227" customWidth="1"/>
    <col min="261" max="261" width="0" style="227" hidden="1" customWidth="1"/>
    <col min="262" max="262" width="12.7109375" style="227" customWidth="1"/>
    <col min="263" max="263" width="9.140625" style="227"/>
    <col min="264" max="264" width="14.5703125" style="227" bestFit="1" customWidth="1"/>
    <col min="265" max="265" width="9.140625" style="227"/>
    <col min="266" max="266" width="14" style="227" bestFit="1" customWidth="1"/>
    <col min="267" max="513" width="9.140625" style="227"/>
    <col min="514" max="514" width="46.5703125" style="227" customWidth="1"/>
    <col min="515" max="515" width="12.7109375" style="227" customWidth="1"/>
    <col min="516" max="516" width="1.7109375" style="227" customWidth="1"/>
    <col min="517" max="517" width="0" style="227" hidden="1" customWidth="1"/>
    <col min="518" max="518" width="12.7109375" style="227" customWidth="1"/>
    <col min="519" max="519" width="9.140625" style="227"/>
    <col min="520" max="520" width="14.5703125" style="227" bestFit="1" customWidth="1"/>
    <col min="521" max="521" width="9.140625" style="227"/>
    <col min="522" max="522" width="14" style="227" bestFit="1" customWidth="1"/>
    <col min="523" max="769" width="9.140625" style="227"/>
    <col min="770" max="770" width="46.5703125" style="227" customWidth="1"/>
    <col min="771" max="771" width="12.7109375" style="227" customWidth="1"/>
    <col min="772" max="772" width="1.7109375" style="227" customWidth="1"/>
    <col min="773" max="773" width="0" style="227" hidden="1" customWidth="1"/>
    <col min="774" max="774" width="12.7109375" style="227" customWidth="1"/>
    <col min="775" max="775" width="9.140625" style="227"/>
    <col min="776" max="776" width="14.5703125" style="227" bestFit="1" customWidth="1"/>
    <col min="777" max="777" width="9.140625" style="227"/>
    <col min="778" max="778" width="14" style="227" bestFit="1" customWidth="1"/>
    <col min="779" max="1025" width="9.140625" style="227"/>
    <col min="1026" max="1026" width="46.5703125" style="227" customWidth="1"/>
    <col min="1027" max="1027" width="12.7109375" style="227" customWidth="1"/>
    <col min="1028" max="1028" width="1.7109375" style="227" customWidth="1"/>
    <col min="1029" max="1029" width="0" style="227" hidden="1" customWidth="1"/>
    <col min="1030" max="1030" width="12.7109375" style="227" customWidth="1"/>
    <col min="1031" max="1031" width="9.140625" style="227"/>
    <col min="1032" max="1032" width="14.5703125" style="227" bestFit="1" customWidth="1"/>
    <col min="1033" max="1033" width="9.140625" style="227"/>
    <col min="1034" max="1034" width="14" style="227" bestFit="1" customWidth="1"/>
    <col min="1035" max="1281" width="9.140625" style="227"/>
    <col min="1282" max="1282" width="46.5703125" style="227" customWidth="1"/>
    <col min="1283" max="1283" width="12.7109375" style="227" customWidth="1"/>
    <col min="1284" max="1284" width="1.7109375" style="227" customWidth="1"/>
    <col min="1285" max="1285" width="0" style="227" hidden="1" customWidth="1"/>
    <col min="1286" max="1286" width="12.7109375" style="227" customWidth="1"/>
    <col min="1287" max="1287" width="9.140625" style="227"/>
    <col min="1288" max="1288" width="14.5703125" style="227" bestFit="1" customWidth="1"/>
    <col min="1289" max="1289" width="9.140625" style="227"/>
    <col min="1290" max="1290" width="14" style="227" bestFit="1" customWidth="1"/>
    <col min="1291" max="1537" width="9.140625" style="227"/>
    <col min="1538" max="1538" width="46.5703125" style="227" customWidth="1"/>
    <col min="1539" max="1539" width="12.7109375" style="227" customWidth="1"/>
    <col min="1540" max="1540" width="1.7109375" style="227" customWidth="1"/>
    <col min="1541" max="1541" width="0" style="227" hidden="1" customWidth="1"/>
    <col min="1542" max="1542" width="12.7109375" style="227" customWidth="1"/>
    <col min="1543" max="1543" width="9.140625" style="227"/>
    <col min="1544" max="1544" width="14.5703125" style="227" bestFit="1" customWidth="1"/>
    <col min="1545" max="1545" width="9.140625" style="227"/>
    <col min="1546" max="1546" width="14" style="227" bestFit="1" customWidth="1"/>
    <col min="1547" max="1793" width="9.140625" style="227"/>
    <col min="1794" max="1794" width="46.5703125" style="227" customWidth="1"/>
    <col min="1795" max="1795" width="12.7109375" style="227" customWidth="1"/>
    <col min="1796" max="1796" width="1.7109375" style="227" customWidth="1"/>
    <col min="1797" max="1797" width="0" style="227" hidden="1" customWidth="1"/>
    <col min="1798" max="1798" width="12.7109375" style="227" customWidth="1"/>
    <col min="1799" max="1799" width="9.140625" style="227"/>
    <col min="1800" max="1800" width="14.5703125" style="227" bestFit="1" customWidth="1"/>
    <col min="1801" max="1801" width="9.140625" style="227"/>
    <col min="1802" max="1802" width="14" style="227" bestFit="1" customWidth="1"/>
    <col min="1803" max="2049" width="9.140625" style="227"/>
    <col min="2050" max="2050" width="46.5703125" style="227" customWidth="1"/>
    <col min="2051" max="2051" width="12.7109375" style="227" customWidth="1"/>
    <col min="2052" max="2052" width="1.7109375" style="227" customWidth="1"/>
    <col min="2053" max="2053" width="0" style="227" hidden="1" customWidth="1"/>
    <col min="2054" max="2054" width="12.7109375" style="227" customWidth="1"/>
    <col min="2055" max="2055" width="9.140625" style="227"/>
    <col min="2056" max="2056" width="14.5703125" style="227" bestFit="1" customWidth="1"/>
    <col min="2057" max="2057" width="9.140625" style="227"/>
    <col min="2058" max="2058" width="14" style="227" bestFit="1" customWidth="1"/>
    <col min="2059" max="2305" width="9.140625" style="227"/>
    <col min="2306" max="2306" width="46.5703125" style="227" customWidth="1"/>
    <col min="2307" max="2307" width="12.7109375" style="227" customWidth="1"/>
    <col min="2308" max="2308" width="1.7109375" style="227" customWidth="1"/>
    <col min="2309" max="2309" width="0" style="227" hidden="1" customWidth="1"/>
    <col min="2310" max="2310" width="12.7109375" style="227" customWidth="1"/>
    <col min="2311" max="2311" width="9.140625" style="227"/>
    <col min="2312" max="2312" width="14.5703125" style="227" bestFit="1" customWidth="1"/>
    <col min="2313" max="2313" width="9.140625" style="227"/>
    <col min="2314" max="2314" width="14" style="227" bestFit="1" customWidth="1"/>
    <col min="2315" max="2561" width="9.140625" style="227"/>
    <col min="2562" max="2562" width="46.5703125" style="227" customWidth="1"/>
    <col min="2563" max="2563" width="12.7109375" style="227" customWidth="1"/>
    <col min="2564" max="2564" width="1.7109375" style="227" customWidth="1"/>
    <col min="2565" max="2565" width="0" style="227" hidden="1" customWidth="1"/>
    <col min="2566" max="2566" width="12.7109375" style="227" customWidth="1"/>
    <col min="2567" max="2567" width="9.140625" style="227"/>
    <col min="2568" max="2568" width="14.5703125" style="227" bestFit="1" customWidth="1"/>
    <col min="2569" max="2569" width="9.140625" style="227"/>
    <col min="2570" max="2570" width="14" style="227" bestFit="1" customWidth="1"/>
    <col min="2571" max="2817" width="9.140625" style="227"/>
    <col min="2818" max="2818" width="46.5703125" style="227" customWidth="1"/>
    <col min="2819" max="2819" width="12.7109375" style="227" customWidth="1"/>
    <col min="2820" max="2820" width="1.7109375" style="227" customWidth="1"/>
    <col min="2821" max="2821" width="0" style="227" hidden="1" customWidth="1"/>
    <col min="2822" max="2822" width="12.7109375" style="227" customWidth="1"/>
    <col min="2823" max="2823" width="9.140625" style="227"/>
    <col min="2824" max="2824" width="14.5703125" style="227" bestFit="1" customWidth="1"/>
    <col min="2825" max="2825" width="9.140625" style="227"/>
    <col min="2826" max="2826" width="14" style="227" bestFit="1" customWidth="1"/>
    <col min="2827" max="3073" width="9.140625" style="227"/>
    <col min="3074" max="3074" width="46.5703125" style="227" customWidth="1"/>
    <col min="3075" max="3075" width="12.7109375" style="227" customWidth="1"/>
    <col min="3076" max="3076" width="1.7109375" style="227" customWidth="1"/>
    <col min="3077" max="3077" width="0" style="227" hidden="1" customWidth="1"/>
    <col min="3078" max="3078" width="12.7109375" style="227" customWidth="1"/>
    <col min="3079" max="3079" width="9.140625" style="227"/>
    <col min="3080" max="3080" width="14.5703125" style="227" bestFit="1" customWidth="1"/>
    <col min="3081" max="3081" width="9.140625" style="227"/>
    <col min="3082" max="3082" width="14" style="227" bestFit="1" customWidth="1"/>
    <col min="3083" max="3329" width="9.140625" style="227"/>
    <col min="3330" max="3330" width="46.5703125" style="227" customWidth="1"/>
    <col min="3331" max="3331" width="12.7109375" style="227" customWidth="1"/>
    <col min="3332" max="3332" width="1.7109375" style="227" customWidth="1"/>
    <col min="3333" max="3333" width="0" style="227" hidden="1" customWidth="1"/>
    <col min="3334" max="3334" width="12.7109375" style="227" customWidth="1"/>
    <col min="3335" max="3335" width="9.140625" style="227"/>
    <col min="3336" max="3336" width="14.5703125" style="227" bestFit="1" customWidth="1"/>
    <col min="3337" max="3337" width="9.140625" style="227"/>
    <col min="3338" max="3338" width="14" style="227" bestFit="1" customWidth="1"/>
    <col min="3339" max="3585" width="9.140625" style="227"/>
    <col min="3586" max="3586" width="46.5703125" style="227" customWidth="1"/>
    <col min="3587" max="3587" width="12.7109375" style="227" customWidth="1"/>
    <col min="3588" max="3588" width="1.7109375" style="227" customWidth="1"/>
    <col min="3589" max="3589" width="0" style="227" hidden="1" customWidth="1"/>
    <col min="3590" max="3590" width="12.7109375" style="227" customWidth="1"/>
    <col min="3591" max="3591" width="9.140625" style="227"/>
    <col min="3592" max="3592" width="14.5703125" style="227" bestFit="1" customWidth="1"/>
    <col min="3593" max="3593" width="9.140625" style="227"/>
    <col min="3594" max="3594" width="14" style="227" bestFit="1" customWidth="1"/>
    <col min="3595" max="3841" width="9.140625" style="227"/>
    <col min="3842" max="3842" width="46.5703125" style="227" customWidth="1"/>
    <col min="3843" max="3843" width="12.7109375" style="227" customWidth="1"/>
    <col min="3844" max="3844" width="1.7109375" style="227" customWidth="1"/>
    <col min="3845" max="3845" width="0" style="227" hidden="1" customWidth="1"/>
    <col min="3846" max="3846" width="12.7109375" style="227" customWidth="1"/>
    <col min="3847" max="3847" width="9.140625" style="227"/>
    <col min="3848" max="3848" width="14.5703125" style="227" bestFit="1" customWidth="1"/>
    <col min="3849" max="3849" width="9.140625" style="227"/>
    <col min="3850" max="3850" width="14" style="227" bestFit="1" customWidth="1"/>
    <col min="3851" max="4097" width="9.140625" style="227"/>
    <col min="4098" max="4098" width="46.5703125" style="227" customWidth="1"/>
    <col min="4099" max="4099" width="12.7109375" style="227" customWidth="1"/>
    <col min="4100" max="4100" width="1.7109375" style="227" customWidth="1"/>
    <col min="4101" max="4101" width="0" style="227" hidden="1" customWidth="1"/>
    <col min="4102" max="4102" width="12.7109375" style="227" customWidth="1"/>
    <col min="4103" max="4103" width="9.140625" style="227"/>
    <col min="4104" max="4104" width="14.5703125" style="227" bestFit="1" customWidth="1"/>
    <col min="4105" max="4105" width="9.140625" style="227"/>
    <col min="4106" max="4106" width="14" style="227" bestFit="1" customWidth="1"/>
    <col min="4107" max="4353" width="9.140625" style="227"/>
    <col min="4354" max="4354" width="46.5703125" style="227" customWidth="1"/>
    <col min="4355" max="4355" width="12.7109375" style="227" customWidth="1"/>
    <col min="4356" max="4356" width="1.7109375" style="227" customWidth="1"/>
    <col min="4357" max="4357" width="0" style="227" hidden="1" customWidth="1"/>
    <col min="4358" max="4358" width="12.7109375" style="227" customWidth="1"/>
    <col min="4359" max="4359" width="9.140625" style="227"/>
    <col min="4360" max="4360" width="14.5703125" style="227" bestFit="1" customWidth="1"/>
    <col min="4361" max="4361" width="9.140625" style="227"/>
    <col min="4362" max="4362" width="14" style="227" bestFit="1" customWidth="1"/>
    <col min="4363" max="4609" width="9.140625" style="227"/>
    <col min="4610" max="4610" width="46.5703125" style="227" customWidth="1"/>
    <col min="4611" max="4611" width="12.7109375" style="227" customWidth="1"/>
    <col min="4612" max="4612" width="1.7109375" style="227" customWidth="1"/>
    <col min="4613" max="4613" width="0" style="227" hidden="1" customWidth="1"/>
    <col min="4614" max="4614" width="12.7109375" style="227" customWidth="1"/>
    <col min="4615" max="4615" width="9.140625" style="227"/>
    <col min="4616" max="4616" width="14.5703125" style="227" bestFit="1" customWidth="1"/>
    <col min="4617" max="4617" width="9.140625" style="227"/>
    <col min="4618" max="4618" width="14" style="227" bestFit="1" customWidth="1"/>
    <col min="4619" max="4865" width="9.140625" style="227"/>
    <col min="4866" max="4866" width="46.5703125" style="227" customWidth="1"/>
    <col min="4867" max="4867" width="12.7109375" style="227" customWidth="1"/>
    <col min="4868" max="4868" width="1.7109375" style="227" customWidth="1"/>
    <col min="4869" max="4869" width="0" style="227" hidden="1" customWidth="1"/>
    <col min="4870" max="4870" width="12.7109375" style="227" customWidth="1"/>
    <col min="4871" max="4871" width="9.140625" style="227"/>
    <col min="4872" max="4872" width="14.5703125" style="227" bestFit="1" customWidth="1"/>
    <col min="4873" max="4873" width="9.140625" style="227"/>
    <col min="4874" max="4874" width="14" style="227" bestFit="1" customWidth="1"/>
    <col min="4875" max="5121" width="9.140625" style="227"/>
    <col min="5122" max="5122" width="46.5703125" style="227" customWidth="1"/>
    <col min="5123" max="5123" width="12.7109375" style="227" customWidth="1"/>
    <col min="5124" max="5124" width="1.7109375" style="227" customWidth="1"/>
    <col min="5125" max="5125" width="0" style="227" hidden="1" customWidth="1"/>
    <col min="5126" max="5126" width="12.7109375" style="227" customWidth="1"/>
    <col min="5127" max="5127" width="9.140625" style="227"/>
    <col min="5128" max="5128" width="14.5703125" style="227" bestFit="1" customWidth="1"/>
    <col min="5129" max="5129" width="9.140625" style="227"/>
    <col min="5130" max="5130" width="14" style="227" bestFit="1" customWidth="1"/>
    <col min="5131" max="5377" width="9.140625" style="227"/>
    <col min="5378" max="5378" width="46.5703125" style="227" customWidth="1"/>
    <col min="5379" max="5379" width="12.7109375" style="227" customWidth="1"/>
    <col min="5380" max="5380" width="1.7109375" style="227" customWidth="1"/>
    <col min="5381" max="5381" width="0" style="227" hidden="1" customWidth="1"/>
    <col min="5382" max="5382" width="12.7109375" style="227" customWidth="1"/>
    <col min="5383" max="5383" width="9.140625" style="227"/>
    <col min="5384" max="5384" width="14.5703125" style="227" bestFit="1" customWidth="1"/>
    <col min="5385" max="5385" width="9.140625" style="227"/>
    <col min="5386" max="5386" width="14" style="227" bestFit="1" customWidth="1"/>
    <col min="5387" max="5633" width="9.140625" style="227"/>
    <col min="5634" max="5634" width="46.5703125" style="227" customWidth="1"/>
    <col min="5635" max="5635" width="12.7109375" style="227" customWidth="1"/>
    <col min="5636" max="5636" width="1.7109375" style="227" customWidth="1"/>
    <col min="5637" max="5637" width="0" style="227" hidden="1" customWidth="1"/>
    <col min="5638" max="5638" width="12.7109375" style="227" customWidth="1"/>
    <col min="5639" max="5639" width="9.140625" style="227"/>
    <col min="5640" max="5640" width="14.5703125" style="227" bestFit="1" customWidth="1"/>
    <col min="5641" max="5641" width="9.140625" style="227"/>
    <col min="5642" max="5642" width="14" style="227" bestFit="1" customWidth="1"/>
    <col min="5643" max="5889" width="9.140625" style="227"/>
    <col min="5890" max="5890" width="46.5703125" style="227" customWidth="1"/>
    <col min="5891" max="5891" width="12.7109375" style="227" customWidth="1"/>
    <col min="5892" max="5892" width="1.7109375" style="227" customWidth="1"/>
    <col min="5893" max="5893" width="0" style="227" hidden="1" customWidth="1"/>
    <col min="5894" max="5894" width="12.7109375" style="227" customWidth="1"/>
    <col min="5895" max="5895" width="9.140625" style="227"/>
    <col min="5896" max="5896" width="14.5703125" style="227" bestFit="1" customWidth="1"/>
    <col min="5897" max="5897" width="9.140625" style="227"/>
    <col min="5898" max="5898" width="14" style="227" bestFit="1" customWidth="1"/>
    <col min="5899" max="6145" width="9.140625" style="227"/>
    <col min="6146" max="6146" width="46.5703125" style="227" customWidth="1"/>
    <col min="6147" max="6147" width="12.7109375" style="227" customWidth="1"/>
    <col min="6148" max="6148" width="1.7109375" style="227" customWidth="1"/>
    <col min="6149" max="6149" width="0" style="227" hidden="1" customWidth="1"/>
    <col min="6150" max="6150" width="12.7109375" style="227" customWidth="1"/>
    <col min="6151" max="6151" width="9.140625" style="227"/>
    <col min="6152" max="6152" width="14.5703125" style="227" bestFit="1" customWidth="1"/>
    <col min="6153" max="6153" width="9.140625" style="227"/>
    <col min="6154" max="6154" width="14" style="227" bestFit="1" customWidth="1"/>
    <col min="6155" max="6401" width="9.140625" style="227"/>
    <col min="6402" max="6402" width="46.5703125" style="227" customWidth="1"/>
    <col min="6403" max="6403" width="12.7109375" style="227" customWidth="1"/>
    <col min="6404" max="6404" width="1.7109375" style="227" customWidth="1"/>
    <col min="6405" max="6405" width="0" style="227" hidden="1" customWidth="1"/>
    <col min="6406" max="6406" width="12.7109375" style="227" customWidth="1"/>
    <col min="6407" max="6407" width="9.140625" style="227"/>
    <col min="6408" max="6408" width="14.5703125" style="227" bestFit="1" customWidth="1"/>
    <col min="6409" max="6409" width="9.140625" style="227"/>
    <col min="6410" max="6410" width="14" style="227" bestFit="1" customWidth="1"/>
    <col min="6411" max="6657" width="9.140625" style="227"/>
    <col min="6658" max="6658" width="46.5703125" style="227" customWidth="1"/>
    <col min="6659" max="6659" width="12.7109375" style="227" customWidth="1"/>
    <col min="6660" max="6660" width="1.7109375" style="227" customWidth="1"/>
    <col min="6661" max="6661" width="0" style="227" hidden="1" customWidth="1"/>
    <col min="6662" max="6662" width="12.7109375" style="227" customWidth="1"/>
    <col min="6663" max="6663" width="9.140625" style="227"/>
    <col min="6664" max="6664" width="14.5703125" style="227" bestFit="1" customWidth="1"/>
    <col min="6665" max="6665" width="9.140625" style="227"/>
    <col min="6666" max="6666" width="14" style="227" bestFit="1" customWidth="1"/>
    <col min="6667" max="6913" width="9.140625" style="227"/>
    <col min="6914" max="6914" width="46.5703125" style="227" customWidth="1"/>
    <col min="6915" max="6915" width="12.7109375" style="227" customWidth="1"/>
    <col min="6916" max="6916" width="1.7109375" style="227" customWidth="1"/>
    <col min="6917" max="6917" width="0" style="227" hidden="1" customWidth="1"/>
    <col min="6918" max="6918" width="12.7109375" style="227" customWidth="1"/>
    <col min="6919" max="6919" width="9.140625" style="227"/>
    <col min="6920" max="6920" width="14.5703125" style="227" bestFit="1" customWidth="1"/>
    <col min="6921" max="6921" width="9.140625" style="227"/>
    <col min="6922" max="6922" width="14" style="227" bestFit="1" customWidth="1"/>
    <col min="6923" max="7169" width="9.140625" style="227"/>
    <col min="7170" max="7170" width="46.5703125" style="227" customWidth="1"/>
    <col min="7171" max="7171" width="12.7109375" style="227" customWidth="1"/>
    <col min="7172" max="7172" width="1.7109375" style="227" customWidth="1"/>
    <col min="7173" max="7173" width="0" style="227" hidden="1" customWidth="1"/>
    <col min="7174" max="7174" width="12.7109375" style="227" customWidth="1"/>
    <col min="7175" max="7175" width="9.140625" style="227"/>
    <col min="7176" max="7176" width="14.5703125" style="227" bestFit="1" customWidth="1"/>
    <col min="7177" max="7177" width="9.140625" style="227"/>
    <col min="7178" max="7178" width="14" style="227" bestFit="1" customWidth="1"/>
    <col min="7179" max="7425" width="9.140625" style="227"/>
    <col min="7426" max="7426" width="46.5703125" style="227" customWidth="1"/>
    <col min="7427" max="7427" width="12.7109375" style="227" customWidth="1"/>
    <col min="7428" max="7428" width="1.7109375" style="227" customWidth="1"/>
    <col min="7429" max="7429" width="0" style="227" hidden="1" customWidth="1"/>
    <col min="7430" max="7430" width="12.7109375" style="227" customWidth="1"/>
    <col min="7431" max="7431" width="9.140625" style="227"/>
    <col min="7432" max="7432" width="14.5703125" style="227" bestFit="1" customWidth="1"/>
    <col min="7433" max="7433" width="9.140625" style="227"/>
    <col min="7434" max="7434" width="14" style="227" bestFit="1" customWidth="1"/>
    <col min="7435" max="7681" width="9.140625" style="227"/>
    <col min="7682" max="7682" width="46.5703125" style="227" customWidth="1"/>
    <col min="7683" max="7683" width="12.7109375" style="227" customWidth="1"/>
    <col min="7684" max="7684" width="1.7109375" style="227" customWidth="1"/>
    <col min="7685" max="7685" width="0" style="227" hidden="1" customWidth="1"/>
    <col min="7686" max="7686" width="12.7109375" style="227" customWidth="1"/>
    <col min="7687" max="7687" width="9.140625" style="227"/>
    <col min="7688" max="7688" width="14.5703125" style="227" bestFit="1" customWidth="1"/>
    <col min="7689" max="7689" width="9.140625" style="227"/>
    <col min="7690" max="7690" width="14" style="227" bestFit="1" customWidth="1"/>
    <col min="7691" max="7937" width="9.140625" style="227"/>
    <col min="7938" max="7938" width="46.5703125" style="227" customWidth="1"/>
    <col min="7939" max="7939" width="12.7109375" style="227" customWidth="1"/>
    <col min="7940" max="7940" width="1.7109375" style="227" customWidth="1"/>
    <col min="7941" max="7941" width="0" style="227" hidden="1" customWidth="1"/>
    <col min="7942" max="7942" width="12.7109375" style="227" customWidth="1"/>
    <col min="7943" max="7943" width="9.140625" style="227"/>
    <col min="7944" max="7944" width="14.5703125" style="227" bestFit="1" customWidth="1"/>
    <col min="7945" max="7945" width="9.140625" style="227"/>
    <col min="7946" max="7946" width="14" style="227" bestFit="1" customWidth="1"/>
    <col min="7947" max="8193" width="9.140625" style="227"/>
    <col min="8194" max="8194" width="46.5703125" style="227" customWidth="1"/>
    <col min="8195" max="8195" width="12.7109375" style="227" customWidth="1"/>
    <col min="8196" max="8196" width="1.7109375" style="227" customWidth="1"/>
    <col min="8197" max="8197" width="0" style="227" hidden="1" customWidth="1"/>
    <col min="8198" max="8198" width="12.7109375" style="227" customWidth="1"/>
    <col min="8199" max="8199" width="9.140625" style="227"/>
    <col min="8200" max="8200" width="14.5703125" style="227" bestFit="1" customWidth="1"/>
    <col min="8201" max="8201" width="9.140625" style="227"/>
    <col min="8202" max="8202" width="14" style="227" bestFit="1" customWidth="1"/>
    <col min="8203" max="8449" width="9.140625" style="227"/>
    <col min="8450" max="8450" width="46.5703125" style="227" customWidth="1"/>
    <col min="8451" max="8451" width="12.7109375" style="227" customWidth="1"/>
    <col min="8452" max="8452" width="1.7109375" style="227" customWidth="1"/>
    <col min="8453" max="8453" width="0" style="227" hidden="1" customWidth="1"/>
    <col min="8454" max="8454" width="12.7109375" style="227" customWidth="1"/>
    <col min="8455" max="8455" width="9.140625" style="227"/>
    <col min="8456" max="8456" width="14.5703125" style="227" bestFit="1" customWidth="1"/>
    <col min="8457" max="8457" width="9.140625" style="227"/>
    <col min="8458" max="8458" width="14" style="227" bestFit="1" customWidth="1"/>
    <col min="8459" max="8705" width="9.140625" style="227"/>
    <col min="8706" max="8706" width="46.5703125" style="227" customWidth="1"/>
    <col min="8707" max="8707" width="12.7109375" style="227" customWidth="1"/>
    <col min="8708" max="8708" width="1.7109375" style="227" customWidth="1"/>
    <col min="8709" max="8709" width="0" style="227" hidden="1" customWidth="1"/>
    <col min="8710" max="8710" width="12.7109375" style="227" customWidth="1"/>
    <col min="8711" max="8711" width="9.140625" style="227"/>
    <col min="8712" max="8712" width="14.5703125" style="227" bestFit="1" customWidth="1"/>
    <col min="8713" max="8713" width="9.140625" style="227"/>
    <col min="8714" max="8714" width="14" style="227" bestFit="1" customWidth="1"/>
    <col min="8715" max="8961" width="9.140625" style="227"/>
    <col min="8962" max="8962" width="46.5703125" style="227" customWidth="1"/>
    <col min="8963" max="8963" width="12.7109375" style="227" customWidth="1"/>
    <col min="8964" max="8964" width="1.7109375" style="227" customWidth="1"/>
    <col min="8965" max="8965" width="0" style="227" hidden="1" customWidth="1"/>
    <col min="8966" max="8966" width="12.7109375" style="227" customWidth="1"/>
    <col min="8967" max="8967" width="9.140625" style="227"/>
    <col min="8968" max="8968" width="14.5703125" style="227" bestFit="1" customWidth="1"/>
    <col min="8969" max="8969" width="9.140625" style="227"/>
    <col min="8970" max="8970" width="14" style="227" bestFit="1" customWidth="1"/>
    <col min="8971" max="9217" width="9.140625" style="227"/>
    <col min="9218" max="9218" width="46.5703125" style="227" customWidth="1"/>
    <col min="9219" max="9219" width="12.7109375" style="227" customWidth="1"/>
    <col min="9220" max="9220" width="1.7109375" style="227" customWidth="1"/>
    <col min="9221" max="9221" width="0" style="227" hidden="1" customWidth="1"/>
    <col min="9222" max="9222" width="12.7109375" style="227" customWidth="1"/>
    <col min="9223" max="9223" width="9.140625" style="227"/>
    <col min="9224" max="9224" width="14.5703125" style="227" bestFit="1" customWidth="1"/>
    <col min="9225" max="9225" width="9.140625" style="227"/>
    <col min="9226" max="9226" width="14" style="227" bestFit="1" customWidth="1"/>
    <col min="9227" max="9473" width="9.140625" style="227"/>
    <col min="9474" max="9474" width="46.5703125" style="227" customWidth="1"/>
    <col min="9475" max="9475" width="12.7109375" style="227" customWidth="1"/>
    <col min="9476" max="9476" width="1.7109375" style="227" customWidth="1"/>
    <col min="9477" max="9477" width="0" style="227" hidden="1" customWidth="1"/>
    <col min="9478" max="9478" width="12.7109375" style="227" customWidth="1"/>
    <col min="9479" max="9479" width="9.140625" style="227"/>
    <col min="9480" max="9480" width="14.5703125" style="227" bestFit="1" customWidth="1"/>
    <col min="9481" max="9481" width="9.140625" style="227"/>
    <col min="9482" max="9482" width="14" style="227" bestFit="1" customWidth="1"/>
    <col min="9483" max="9729" width="9.140625" style="227"/>
    <col min="9730" max="9730" width="46.5703125" style="227" customWidth="1"/>
    <col min="9731" max="9731" width="12.7109375" style="227" customWidth="1"/>
    <col min="9732" max="9732" width="1.7109375" style="227" customWidth="1"/>
    <col min="9733" max="9733" width="0" style="227" hidden="1" customWidth="1"/>
    <col min="9734" max="9734" width="12.7109375" style="227" customWidth="1"/>
    <col min="9735" max="9735" width="9.140625" style="227"/>
    <col min="9736" max="9736" width="14.5703125" style="227" bestFit="1" customWidth="1"/>
    <col min="9737" max="9737" width="9.140625" style="227"/>
    <col min="9738" max="9738" width="14" style="227" bestFit="1" customWidth="1"/>
    <col min="9739" max="9985" width="9.140625" style="227"/>
    <col min="9986" max="9986" width="46.5703125" style="227" customWidth="1"/>
    <col min="9987" max="9987" width="12.7109375" style="227" customWidth="1"/>
    <col min="9988" max="9988" width="1.7109375" style="227" customWidth="1"/>
    <col min="9989" max="9989" width="0" style="227" hidden="1" customWidth="1"/>
    <col min="9990" max="9990" width="12.7109375" style="227" customWidth="1"/>
    <col min="9991" max="9991" width="9.140625" style="227"/>
    <col min="9992" max="9992" width="14.5703125" style="227" bestFit="1" customWidth="1"/>
    <col min="9993" max="9993" width="9.140625" style="227"/>
    <col min="9994" max="9994" width="14" style="227" bestFit="1" customWidth="1"/>
    <col min="9995" max="10241" width="9.140625" style="227"/>
    <col min="10242" max="10242" width="46.5703125" style="227" customWidth="1"/>
    <col min="10243" max="10243" width="12.7109375" style="227" customWidth="1"/>
    <col min="10244" max="10244" width="1.7109375" style="227" customWidth="1"/>
    <col min="10245" max="10245" width="0" style="227" hidden="1" customWidth="1"/>
    <col min="10246" max="10246" width="12.7109375" style="227" customWidth="1"/>
    <col min="10247" max="10247" width="9.140625" style="227"/>
    <col min="10248" max="10248" width="14.5703125" style="227" bestFit="1" customWidth="1"/>
    <col min="10249" max="10249" width="9.140625" style="227"/>
    <col min="10250" max="10250" width="14" style="227" bestFit="1" customWidth="1"/>
    <col min="10251" max="10497" width="9.140625" style="227"/>
    <col min="10498" max="10498" width="46.5703125" style="227" customWidth="1"/>
    <col min="10499" max="10499" width="12.7109375" style="227" customWidth="1"/>
    <col min="10500" max="10500" width="1.7109375" style="227" customWidth="1"/>
    <col min="10501" max="10501" width="0" style="227" hidden="1" customWidth="1"/>
    <col min="10502" max="10502" width="12.7109375" style="227" customWidth="1"/>
    <col min="10503" max="10503" width="9.140625" style="227"/>
    <col min="10504" max="10504" width="14.5703125" style="227" bestFit="1" customWidth="1"/>
    <col min="10505" max="10505" width="9.140625" style="227"/>
    <col min="10506" max="10506" width="14" style="227" bestFit="1" customWidth="1"/>
    <col min="10507" max="10753" width="9.140625" style="227"/>
    <col min="10754" max="10754" width="46.5703125" style="227" customWidth="1"/>
    <col min="10755" max="10755" width="12.7109375" style="227" customWidth="1"/>
    <col min="10756" max="10756" width="1.7109375" style="227" customWidth="1"/>
    <col min="10757" max="10757" width="0" style="227" hidden="1" customWidth="1"/>
    <col min="10758" max="10758" width="12.7109375" style="227" customWidth="1"/>
    <col min="10759" max="10759" width="9.140625" style="227"/>
    <col min="10760" max="10760" width="14.5703125" style="227" bestFit="1" customWidth="1"/>
    <col min="10761" max="10761" width="9.140625" style="227"/>
    <col min="10762" max="10762" width="14" style="227" bestFit="1" customWidth="1"/>
    <col min="10763" max="11009" width="9.140625" style="227"/>
    <col min="11010" max="11010" width="46.5703125" style="227" customWidth="1"/>
    <col min="11011" max="11011" width="12.7109375" style="227" customWidth="1"/>
    <col min="11012" max="11012" width="1.7109375" style="227" customWidth="1"/>
    <col min="11013" max="11013" width="0" style="227" hidden="1" customWidth="1"/>
    <col min="11014" max="11014" width="12.7109375" style="227" customWidth="1"/>
    <col min="11015" max="11015" width="9.140625" style="227"/>
    <col min="11016" max="11016" width="14.5703125" style="227" bestFit="1" customWidth="1"/>
    <col min="11017" max="11017" width="9.140625" style="227"/>
    <col min="11018" max="11018" width="14" style="227" bestFit="1" customWidth="1"/>
    <col min="11019" max="11265" width="9.140625" style="227"/>
    <col min="11266" max="11266" width="46.5703125" style="227" customWidth="1"/>
    <col min="11267" max="11267" width="12.7109375" style="227" customWidth="1"/>
    <col min="11268" max="11268" width="1.7109375" style="227" customWidth="1"/>
    <col min="11269" max="11269" width="0" style="227" hidden="1" customWidth="1"/>
    <col min="11270" max="11270" width="12.7109375" style="227" customWidth="1"/>
    <col min="11271" max="11271" width="9.140625" style="227"/>
    <col min="11272" max="11272" width="14.5703125" style="227" bestFit="1" customWidth="1"/>
    <col min="11273" max="11273" width="9.140625" style="227"/>
    <col min="11274" max="11274" width="14" style="227" bestFit="1" customWidth="1"/>
    <col min="11275" max="11521" width="9.140625" style="227"/>
    <col min="11522" max="11522" width="46.5703125" style="227" customWidth="1"/>
    <col min="11523" max="11523" width="12.7109375" style="227" customWidth="1"/>
    <col min="11524" max="11524" width="1.7109375" style="227" customWidth="1"/>
    <col min="11525" max="11525" width="0" style="227" hidden="1" customWidth="1"/>
    <col min="11526" max="11526" width="12.7109375" style="227" customWidth="1"/>
    <col min="11527" max="11527" width="9.140625" style="227"/>
    <col min="11528" max="11528" width="14.5703125" style="227" bestFit="1" customWidth="1"/>
    <col min="11529" max="11529" width="9.140625" style="227"/>
    <col min="11530" max="11530" width="14" style="227" bestFit="1" customWidth="1"/>
    <col min="11531" max="11777" width="9.140625" style="227"/>
    <col min="11778" max="11778" width="46.5703125" style="227" customWidth="1"/>
    <col min="11779" max="11779" width="12.7109375" style="227" customWidth="1"/>
    <col min="11780" max="11780" width="1.7109375" style="227" customWidth="1"/>
    <col min="11781" max="11781" width="0" style="227" hidden="1" customWidth="1"/>
    <col min="11782" max="11782" width="12.7109375" style="227" customWidth="1"/>
    <col min="11783" max="11783" width="9.140625" style="227"/>
    <col min="11784" max="11784" width="14.5703125" style="227" bestFit="1" customWidth="1"/>
    <col min="11785" max="11785" width="9.140625" style="227"/>
    <col min="11786" max="11786" width="14" style="227" bestFit="1" customWidth="1"/>
    <col min="11787" max="12033" width="9.140625" style="227"/>
    <col min="12034" max="12034" width="46.5703125" style="227" customWidth="1"/>
    <col min="12035" max="12035" width="12.7109375" style="227" customWidth="1"/>
    <col min="12036" max="12036" width="1.7109375" style="227" customWidth="1"/>
    <col min="12037" max="12037" width="0" style="227" hidden="1" customWidth="1"/>
    <col min="12038" max="12038" width="12.7109375" style="227" customWidth="1"/>
    <col min="12039" max="12039" width="9.140625" style="227"/>
    <col min="12040" max="12040" width="14.5703125" style="227" bestFit="1" customWidth="1"/>
    <col min="12041" max="12041" width="9.140625" style="227"/>
    <col min="12042" max="12042" width="14" style="227" bestFit="1" customWidth="1"/>
    <col min="12043" max="12289" width="9.140625" style="227"/>
    <col min="12290" max="12290" width="46.5703125" style="227" customWidth="1"/>
    <col min="12291" max="12291" width="12.7109375" style="227" customWidth="1"/>
    <col min="12292" max="12292" width="1.7109375" style="227" customWidth="1"/>
    <col min="12293" max="12293" width="0" style="227" hidden="1" customWidth="1"/>
    <col min="12294" max="12294" width="12.7109375" style="227" customWidth="1"/>
    <col min="12295" max="12295" width="9.140625" style="227"/>
    <col min="12296" max="12296" width="14.5703125" style="227" bestFit="1" customWidth="1"/>
    <col min="12297" max="12297" width="9.140625" style="227"/>
    <col min="12298" max="12298" width="14" style="227" bestFit="1" customWidth="1"/>
    <col min="12299" max="12545" width="9.140625" style="227"/>
    <col min="12546" max="12546" width="46.5703125" style="227" customWidth="1"/>
    <col min="12547" max="12547" width="12.7109375" style="227" customWidth="1"/>
    <col min="12548" max="12548" width="1.7109375" style="227" customWidth="1"/>
    <col min="12549" max="12549" width="0" style="227" hidden="1" customWidth="1"/>
    <col min="12550" max="12550" width="12.7109375" style="227" customWidth="1"/>
    <col min="12551" max="12551" width="9.140625" style="227"/>
    <col min="12552" max="12552" width="14.5703125" style="227" bestFit="1" customWidth="1"/>
    <col min="12553" max="12553" width="9.140625" style="227"/>
    <col min="12554" max="12554" width="14" style="227" bestFit="1" customWidth="1"/>
    <col min="12555" max="12801" width="9.140625" style="227"/>
    <col min="12802" max="12802" width="46.5703125" style="227" customWidth="1"/>
    <col min="12803" max="12803" width="12.7109375" style="227" customWidth="1"/>
    <col min="12804" max="12804" width="1.7109375" style="227" customWidth="1"/>
    <col min="12805" max="12805" width="0" style="227" hidden="1" customWidth="1"/>
    <col min="12806" max="12806" width="12.7109375" style="227" customWidth="1"/>
    <col min="12807" max="12807" width="9.140625" style="227"/>
    <col min="12808" max="12808" width="14.5703125" style="227" bestFit="1" customWidth="1"/>
    <col min="12809" max="12809" width="9.140625" style="227"/>
    <col min="12810" max="12810" width="14" style="227" bestFit="1" customWidth="1"/>
    <col min="12811" max="13057" width="9.140625" style="227"/>
    <col min="13058" max="13058" width="46.5703125" style="227" customWidth="1"/>
    <col min="13059" max="13059" width="12.7109375" style="227" customWidth="1"/>
    <col min="13060" max="13060" width="1.7109375" style="227" customWidth="1"/>
    <col min="13061" max="13061" width="0" style="227" hidden="1" customWidth="1"/>
    <col min="13062" max="13062" width="12.7109375" style="227" customWidth="1"/>
    <col min="13063" max="13063" width="9.140625" style="227"/>
    <col min="13064" max="13064" width="14.5703125" style="227" bestFit="1" customWidth="1"/>
    <col min="13065" max="13065" width="9.140625" style="227"/>
    <col min="13066" max="13066" width="14" style="227" bestFit="1" customWidth="1"/>
    <col min="13067" max="13313" width="9.140625" style="227"/>
    <col min="13314" max="13314" width="46.5703125" style="227" customWidth="1"/>
    <col min="13315" max="13315" width="12.7109375" style="227" customWidth="1"/>
    <col min="13316" max="13316" width="1.7109375" style="227" customWidth="1"/>
    <col min="13317" max="13317" width="0" style="227" hidden="1" customWidth="1"/>
    <col min="13318" max="13318" width="12.7109375" style="227" customWidth="1"/>
    <col min="13319" max="13319" width="9.140625" style="227"/>
    <col min="13320" max="13320" width="14.5703125" style="227" bestFit="1" customWidth="1"/>
    <col min="13321" max="13321" width="9.140625" style="227"/>
    <col min="13322" max="13322" width="14" style="227" bestFit="1" customWidth="1"/>
    <col min="13323" max="13569" width="9.140625" style="227"/>
    <col min="13570" max="13570" width="46.5703125" style="227" customWidth="1"/>
    <col min="13571" max="13571" width="12.7109375" style="227" customWidth="1"/>
    <col min="13572" max="13572" width="1.7109375" style="227" customWidth="1"/>
    <col min="13573" max="13573" width="0" style="227" hidden="1" customWidth="1"/>
    <col min="13574" max="13574" width="12.7109375" style="227" customWidth="1"/>
    <col min="13575" max="13575" width="9.140625" style="227"/>
    <col min="13576" max="13576" width="14.5703125" style="227" bestFit="1" customWidth="1"/>
    <col min="13577" max="13577" width="9.140625" style="227"/>
    <col min="13578" max="13578" width="14" style="227" bestFit="1" customWidth="1"/>
    <col min="13579" max="13825" width="9.140625" style="227"/>
    <col min="13826" max="13826" width="46.5703125" style="227" customWidth="1"/>
    <col min="13827" max="13827" width="12.7109375" style="227" customWidth="1"/>
    <col min="13828" max="13828" width="1.7109375" style="227" customWidth="1"/>
    <col min="13829" max="13829" width="0" style="227" hidden="1" customWidth="1"/>
    <col min="13830" max="13830" width="12.7109375" style="227" customWidth="1"/>
    <col min="13831" max="13831" width="9.140625" style="227"/>
    <col min="13832" max="13832" width="14.5703125" style="227" bestFit="1" customWidth="1"/>
    <col min="13833" max="13833" width="9.140625" style="227"/>
    <col min="13834" max="13834" width="14" style="227" bestFit="1" customWidth="1"/>
    <col min="13835" max="14081" width="9.140625" style="227"/>
    <col min="14082" max="14082" width="46.5703125" style="227" customWidth="1"/>
    <col min="14083" max="14083" width="12.7109375" style="227" customWidth="1"/>
    <col min="14084" max="14084" width="1.7109375" style="227" customWidth="1"/>
    <col min="14085" max="14085" width="0" style="227" hidden="1" customWidth="1"/>
    <col min="14086" max="14086" width="12.7109375" style="227" customWidth="1"/>
    <col min="14087" max="14087" width="9.140625" style="227"/>
    <col min="14088" max="14088" width="14.5703125" style="227" bestFit="1" customWidth="1"/>
    <col min="14089" max="14089" width="9.140625" style="227"/>
    <col min="14090" max="14090" width="14" style="227" bestFit="1" customWidth="1"/>
    <col min="14091" max="14337" width="9.140625" style="227"/>
    <col min="14338" max="14338" width="46.5703125" style="227" customWidth="1"/>
    <col min="14339" max="14339" width="12.7109375" style="227" customWidth="1"/>
    <col min="14340" max="14340" width="1.7109375" style="227" customWidth="1"/>
    <col min="14341" max="14341" width="0" style="227" hidden="1" customWidth="1"/>
    <col min="14342" max="14342" width="12.7109375" style="227" customWidth="1"/>
    <col min="14343" max="14343" width="9.140625" style="227"/>
    <col min="14344" max="14344" width="14.5703125" style="227" bestFit="1" customWidth="1"/>
    <col min="14345" max="14345" width="9.140625" style="227"/>
    <col min="14346" max="14346" width="14" style="227" bestFit="1" customWidth="1"/>
    <col min="14347" max="14593" width="9.140625" style="227"/>
    <col min="14594" max="14594" width="46.5703125" style="227" customWidth="1"/>
    <col min="14595" max="14595" width="12.7109375" style="227" customWidth="1"/>
    <col min="14596" max="14596" width="1.7109375" style="227" customWidth="1"/>
    <col min="14597" max="14597" width="0" style="227" hidden="1" customWidth="1"/>
    <col min="14598" max="14598" width="12.7109375" style="227" customWidth="1"/>
    <col min="14599" max="14599" width="9.140625" style="227"/>
    <col min="14600" max="14600" width="14.5703125" style="227" bestFit="1" customWidth="1"/>
    <col min="14601" max="14601" width="9.140625" style="227"/>
    <col min="14602" max="14602" width="14" style="227" bestFit="1" customWidth="1"/>
    <col min="14603" max="14849" width="9.140625" style="227"/>
    <col min="14850" max="14850" width="46.5703125" style="227" customWidth="1"/>
    <col min="14851" max="14851" width="12.7109375" style="227" customWidth="1"/>
    <col min="14852" max="14852" width="1.7109375" style="227" customWidth="1"/>
    <col min="14853" max="14853" width="0" style="227" hidden="1" customWidth="1"/>
    <col min="14854" max="14854" width="12.7109375" style="227" customWidth="1"/>
    <col min="14855" max="14855" width="9.140625" style="227"/>
    <col min="14856" max="14856" width="14.5703125" style="227" bestFit="1" customWidth="1"/>
    <col min="14857" max="14857" width="9.140625" style="227"/>
    <col min="14858" max="14858" width="14" style="227" bestFit="1" customWidth="1"/>
    <col min="14859" max="15105" width="9.140625" style="227"/>
    <col min="15106" max="15106" width="46.5703125" style="227" customWidth="1"/>
    <col min="15107" max="15107" width="12.7109375" style="227" customWidth="1"/>
    <col min="15108" max="15108" width="1.7109375" style="227" customWidth="1"/>
    <col min="15109" max="15109" width="0" style="227" hidden="1" customWidth="1"/>
    <col min="15110" max="15110" width="12.7109375" style="227" customWidth="1"/>
    <col min="15111" max="15111" width="9.140625" style="227"/>
    <col min="15112" max="15112" width="14.5703125" style="227" bestFit="1" customWidth="1"/>
    <col min="15113" max="15113" width="9.140625" style="227"/>
    <col min="15114" max="15114" width="14" style="227" bestFit="1" customWidth="1"/>
    <col min="15115" max="15361" width="9.140625" style="227"/>
    <col min="15362" max="15362" width="46.5703125" style="227" customWidth="1"/>
    <col min="15363" max="15363" width="12.7109375" style="227" customWidth="1"/>
    <col min="15364" max="15364" width="1.7109375" style="227" customWidth="1"/>
    <col min="15365" max="15365" width="0" style="227" hidden="1" customWidth="1"/>
    <col min="15366" max="15366" width="12.7109375" style="227" customWidth="1"/>
    <col min="15367" max="15367" width="9.140625" style="227"/>
    <col min="15368" max="15368" width="14.5703125" style="227" bestFit="1" customWidth="1"/>
    <col min="15369" max="15369" width="9.140625" style="227"/>
    <col min="15370" max="15370" width="14" style="227" bestFit="1" customWidth="1"/>
    <col min="15371" max="15617" width="9.140625" style="227"/>
    <col min="15618" max="15618" width="46.5703125" style="227" customWidth="1"/>
    <col min="15619" max="15619" width="12.7109375" style="227" customWidth="1"/>
    <col min="15620" max="15620" width="1.7109375" style="227" customWidth="1"/>
    <col min="15621" max="15621" width="0" style="227" hidden="1" customWidth="1"/>
    <col min="15622" max="15622" width="12.7109375" style="227" customWidth="1"/>
    <col min="15623" max="15623" width="9.140625" style="227"/>
    <col min="15624" max="15624" width="14.5703125" style="227" bestFit="1" customWidth="1"/>
    <col min="15625" max="15625" width="9.140625" style="227"/>
    <col min="15626" max="15626" width="14" style="227" bestFit="1" customWidth="1"/>
    <col min="15627" max="15873" width="9.140625" style="227"/>
    <col min="15874" max="15874" width="46.5703125" style="227" customWidth="1"/>
    <col min="15875" max="15875" width="12.7109375" style="227" customWidth="1"/>
    <col min="15876" max="15876" width="1.7109375" style="227" customWidth="1"/>
    <col min="15877" max="15877" width="0" style="227" hidden="1" customWidth="1"/>
    <col min="15878" max="15878" width="12.7109375" style="227" customWidth="1"/>
    <col min="15879" max="15879" width="9.140625" style="227"/>
    <col min="15880" max="15880" width="14.5703125" style="227" bestFit="1" customWidth="1"/>
    <col min="15881" max="15881" width="9.140625" style="227"/>
    <col min="15882" max="15882" width="14" style="227" bestFit="1" customWidth="1"/>
    <col min="15883" max="16129" width="9.140625" style="227"/>
    <col min="16130" max="16130" width="46.5703125" style="227" customWidth="1"/>
    <col min="16131" max="16131" width="12.7109375" style="227" customWidth="1"/>
    <col min="16132" max="16132" width="1.7109375" style="227" customWidth="1"/>
    <col min="16133" max="16133" width="0" style="227" hidden="1" customWidth="1"/>
    <col min="16134" max="16134" width="12.7109375" style="227" customWidth="1"/>
    <col min="16135" max="16135" width="9.140625" style="227"/>
    <col min="16136" max="16136" width="14.5703125" style="227" bestFit="1" customWidth="1"/>
    <col min="16137" max="16137" width="9.140625" style="227"/>
    <col min="16138" max="16138" width="14" style="227" bestFit="1" customWidth="1"/>
    <col min="16139" max="16384" width="9.140625" style="227"/>
  </cols>
  <sheetData>
    <row r="1" spans="1:10">
      <c r="A1" s="174" t="s">
        <v>197</v>
      </c>
    </row>
    <row r="2" spans="1:10">
      <c r="A2" s="174"/>
    </row>
    <row r="3" spans="1:10">
      <c r="A3" s="174"/>
    </row>
    <row r="4" spans="1:10">
      <c r="A4" s="436" t="s">
        <v>295</v>
      </c>
      <c r="B4" s="436"/>
      <c r="C4" s="436"/>
      <c r="D4" s="436"/>
      <c r="E4" s="436"/>
      <c r="F4" s="436"/>
    </row>
    <row r="5" spans="1:10" s="229" customFormat="1" ht="10.5" customHeight="1">
      <c r="A5" s="251"/>
      <c r="B5" s="176"/>
      <c r="C5" s="231"/>
      <c r="D5" s="252"/>
      <c r="E5" s="253"/>
      <c r="F5" s="253"/>
      <c r="J5" s="230"/>
    </row>
    <row r="6" spans="1:10" s="229" customFormat="1">
      <c r="A6" s="437" t="s">
        <v>296</v>
      </c>
      <c r="B6" s="437"/>
      <c r="C6" s="437"/>
      <c r="D6" s="437"/>
      <c r="E6" s="437"/>
      <c r="F6" s="437"/>
      <c r="J6" s="230"/>
    </row>
    <row r="7" spans="1:10" s="229" customFormat="1">
      <c r="A7" s="254"/>
      <c r="B7" s="254"/>
      <c r="C7" s="255"/>
      <c r="D7" s="255"/>
      <c r="E7" s="255"/>
      <c r="F7" s="253"/>
      <c r="J7" s="230"/>
    </row>
    <row r="8" spans="1:10" s="229" customFormat="1">
      <c r="A8" s="254"/>
      <c r="B8" s="254"/>
      <c r="C8" s="255"/>
      <c r="D8" s="255"/>
      <c r="E8" s="255"/>
      <c r="F8" s="253"/>
      <c r="J8" s="230"/>
    </row>
    <row r="9" spans="1:10">
      <c r="C9" s="443" t="s">
        <v>178</v>
      </c>
      <c r="D9" s="443"/>
      <c r="E9" s="443"/>
      <c r="F9" s="443"/>
    </row>
    <row r="10" spans="1:10">
      <c r="C10" s="234">
        <v>2012</v>
      </c>
      <c r="D10" s="256"/>
      <c r="E10" s="234">
        <v>2010</v>
      </c>
      <c r="F10" s="234">
        <v>2011</v>
      </c>
      <c r="H10" s="227" t="s">
        <v>329</v>
      </c>
      <c r="J10" s="228" t="s">
        <v>329</v>
      </c>
    </row>
    <row r="11" spans="1:10">
      <c r="C11" s="237"/>
      <c r="D11" s="257"/>
      <c r="E11" s="237"/>
    </row>
    <row r="12" spans="1:10">
      <c r="A12" s="181" t="s">
        <v>297</v>
      </c>
    </row>
    <row r="13" spans="1:10">
      <c r="A13" s="227" t="s">
        <v>298</v>
      </c>
      <c r="C13" s="225">
        <f>'[7]PASH 2012'!D34</f>
        <v>282190.92000000004</v>
      </c>
      <c r="F13" s="225">
        <v>322505.86</v>
      </c>
      <c r="H13" s="228">
        <f>+C13*140</f>
        <v>39506728.800000004</v>
      </c>
      <c r="J13" s="228">
        <f>+F13*138.93</f>
        <v>44805739.129799999</v>
      </c>
    </row>
    <row r="14" spans="1:10">
      <c r="A14" s="227" t="s">
        <v>299</v>
      </c>
      <c r="H14" s="228">
        <f t="shared" ref="H14:H45" si="0">+C14*140</f>
        <v>0</v>
      </c>
      <c r="J14" s="228">
        <f t="shared" ref="J14:J45" si="1">+F14*138.93</f>
        <v>0</v>
      </c>
    </row>
    <row r="15" spans="1:10">
      <c r="A15" s="227" t="s">
        <v>300</v>
      </c>
      <c r="B15" s="227" t="s">
        <v>301</v>
      </c>
      <c r="H15" s="228">
        <f t="shared" si="0"/>
        <v>0</v>
      </c>
      <c r="J15" s="228">
        <f t="shared" si="1"/>
        <v>0</v>
      </c>
    </row>
    <row r="16" spans="1:10">
      <c r="B16" s="227" t="s">
        <v>302</v>
      </c>
      <c r="H16" s="228">
        <f t="shared" si="0"/>
        <v>0</v>
      </c>
      <c r="J16" s="228">
        <f t="shared" si="1"/>
        <v>0</v>
      </c>
    </row>
    <row r="17" spans="1:10">
      <c r="B17" s="227" t="s">
        <v>303</v>
      </c>
      <c r="H17" s="228">
        <f t="shared" si="0"/>
        <v>0</v>
      </c>
      <c r="J17" s="228">
        <f t="shared" si="1"/>
        <v>0</v>
      </c>
    </row>
    <row r="18" spans="1:10">
      <c r="B18" s="227" t="s">
        <v>304</v>
      </c>
      <c r="H18" s="228">
        <f t="shared" si="0"/>
        <v>0</v>
      </c>
      <c r="J18" s="228">
        <f t="shared" si="1"/>
        <v>0</v>
      </c>
    </row>
    <row r="19" spans="1:10">
      <c r="B19" s="227" t="s">
        <v>305</v>
      </c>
      <c r="C19" s="225">
        <f>'[7]PASH 2012'!D37</f>
        <v>-29129.606000000007</v>
      </c>
      <c r="F19" s="225">
        <v>0</v>
      </c>
      <c r="H19" s="228">
        <f t="shared" si="0"/>
        <v>-4078144.8400000008</v>
      </c>
      <c r="J19" s="228">
        <f t="shared" si="1"/>
        <v>0</v>
      </c>
    </row>
    <row r="20" spans="1:10">
      <c r="B20" s="227" t="s">
        <v>306</v>
      </c>
      <c r="C20" s="225">
        <f>'[7]BGJ 2012'!I27</f>
        <v>-259572.1560000001</v>
      </c>
      <c r="F20" s="225">
        <v>-404170.01</v>
      </c>
      <c r="H20" s="228">
        <f t="shared" si="0"/>
        <v>-36340101.840000011</v>
      </c>
      <c r="J20" s="228">
        <f t="shared" si="1"/>
        <v>-56151339.489300005</v>
      </c>
    </row>
    <row r="21" spans="1:10">
      <c r="B21" s="227" t="s">
        <v>307</v>
      </c>
      <c r="C21" s="258">
        <f>'[7]BGJ 2012'!I37</f>
        <v>-10029.82</v>
      </c>
      <c r="F21" s="225">
        <v>-10694.59</v>
      </c>
      <c r="H21" s="228">
        <f t="shared" si="0"/>
        <v>-1404174.8</v>
      </c>
      <c r="J21" s="228">
        <f t="shared" si="1"/>
        <v>-1485799.3887</v>
      </c>
    </row>
    <row r="22" spans="1:10">
      <c r="B22" s="227" t="s">
        <v>308</v>
      </c>
      <c r="C22" s="259">
        <f>'[7]BGJ 2012'!I79</f>
        <v>16459.98000000001</v>
      </c>
      <c r="E22" s="259"/>
      <c r="F22" s="259">
        <v>93114.1</v>
      </c>
      <c r="H22" s="228">
        <f t="shared" si="0"/>
        <v>2304397.2000000016</v>
      </c>
      <c r="J22" s="228">
        <f t="shared" si="1"/>
        <v>12936341.913000001</v>
      </c>
    </row>
    <row r="23" spans="1:10">
      <c r="A23" s="227" t="s">
        <v>309</v>
      </c>
      <c r="C23" s="225">
        <f>SUM(C13:C22)-0.01</f>
        <v>-80.692000000051635</v>
      </c>
      <c r="D23" s="225">
        <f>SUM(D13:D22)</f>
        <v>0</v>
      </c>
      <c r="E23" s="225">
        <f>SUM(E13:E22)</f>
        <v>0</v>
      </c>
      <c r="F23" s="225">
        <f>SUM(F13:F22)</f>
        <v>755.35999999998603</v>
      </c>
      <c r="H23" s="228">
        <f t="shared" si="0"/>
        <v>-11296.88000000723</v>
      </c>
      <c r="J23" s="228">
        <f t="shared" si="1"/>
        <v>104942.16479999806</v>
      </c>
    </row>
    <row r="24" spans="1:10">
      <c r="B24" s="227" t="s">
        <v>310</v>
      </c>
      <c r="H24" s="228">
        <f t="shared" si="0"/>
        <v>0</v>
      </c>
      <c r="J24" s="228">
        <f t="shared" si="1"/>
        <v>0</v>
      </c>
    </row>
    <row r="25" spans="1:10">
      <c r="B25" s="227" t="s">
        <v>311</v>
      </c>
      <c r="F25" s="225">
        <v>-750</v>
      </c>
      <c r="H25" s="228">
        <f t="shared" si="0"/>
        <v>0</v>
      </c>
      <c r="J25" s="228">
        <f t="shared" si="1"/>
        <v>-104197.5</v>
      </c>
    </row>
    <row r="26" spans="1:10">
      <c r="A26" s="241" t="s">
        <v>312</v>
      </c>
      <c r="C26" s="260">
        <f>C23+C25</f>
        <v>-80.692000000051635</v>
      </c>
      <c r="D26" s="242">
        <f>D23+D25</f>
        <v>0</v>
      </c>
      <c r="E26" s="260">
        <f>E23+E25</f>
        <v>0</v>
      </c>
      <c r="F26" s="260">
        <f>F23+F25</f>
        <v>5.3599999999860302</v>
      </c>
      <c r="H26" s="228">
        <f t="shared" si="0"/>
        <v>-11296.88000000723</v>
      </c>
      <c r="J26" s="228">
        <f t="shared" si="1"/>
        <v>744.66479999805915</v>
      </c>
    </row>
    <row r="27" spans="1:10">
      <c r="A27" s="241"/>
      <c r="H27" s="228">
        <f t="shared" si="0"/>
        <v>0</v>
      </c>
      <c r="J27" s="228">
        <f t="shared" si="1"/>
        <v>0</v>
      </c>
    </row>
    <row r="28" spans="1:10">
      <c r="A28" s="181" t="s">
        <v>313</v>
      </c>
      <c r="H28" s="228">
        <f t="shared" si="0"/>
        <v>0</v>
      </c>
      <c r="J28" s="228">
        <f t="shared" si="1"/>
        <v>0</v>
      </c>
    </row>
    <row r="29" spans="1:10">
      <c r="A29" s="227" t="s">
        <v>314</v>
      </c>
      <c r="H29" s="228">
        <f t="shared" si="0"/>
        <v>0</v>
      </c>
      <c r="J29" s="228">
        <f t="shared" si="1"/>
        <v>0</v>
      </c>
    </row>
    <row r="30" spans="1:10">
      <c r="A30" s="227" t="s">
        <v>315</v>
      </c>
      <c r="H30" s="228">
        <f t="shared" si="0"/>
        <v>0</v>
      </c>
      <c r="J30" s="228">
        <f t="shared" si="1"/>
        <v>0</v>
      </c>
    </row>
    <row r="31" spans="1:10">
      <c r="A31" s="227" t="s">
        <v>316</v>
      </c>
      <c r="H31" s="228">
        <f t="shared" si="0"/>
        <v>0</v>
      </c>
      <c r="J31" s="228">
        <f t="shared" si="1"/>
        <v>0</v>
      </c>
    </row>
    <row r="32" spans="1:10">
      <c r="A32" s="227" t="s">
        <v>317</v>
      </c>
      <c r="B32" s="245"/>
      <c r="H32" s="228">
        <f t="shared" si="0"/>
        <v>0</v>
      </c>
      <c r="J32" s="228">
        <f t="shared" si="1"/>
        <v>0</v>
      </c>
    </row>
    <row r="33" spans="1:10">
      <c r="A33" s="227" t="s">
        <v>318</v>
      </c>
      <c r="B33" s="241"/>
      <c r="H33" s="228">
        <f t="shared" si="0"/>
        <v>0</v>
      </c>
      <c r="J33" s="228">
        <f t="shared" si="1"/>
        <v>0</v>
      </c>
    </row>
    <row r="34" spans="1:10">
      <c r="A34" s="241" t="s">
        <v>319</v>
      </c>
      <c r="B34" s="241"/>
      <c r="C34" s="246">
        <f>SUM(C30:C33)</f>
        <v>0</v>
      </c>
      <c r="E34" s="246"/>
      <c r="F34" s="246">
        <v>0</v>
      </c>
      <c r="H34" s="228">
        <f t="shared" si="0"/>
        <v>0</v>
      </c>
      <c r="J34" s="228">
        <f t="shared" si="1"/>
        <v>0</v>
      </c>
    </row>
    <row r="35" spans="1:10">
      <c r="B35" s="241"/>
      <c r="H35" s="228">
        <f t="shared" si="0"/>
        <v>0</v>
      </c>
      <c r="J35" s="228">
        <f t="shared" si="1"/>
        <v>0</v>
      </c>
    </row>
    <row r="36" spans="1:10">
      <c r="A36" s="181" t="s">
        <v>320</v>
      </c>
      <c r="H36" s="228">
        <f t="shared" si="0"/>
        <v>0</v>
      </c>
      <c r="J36" s="228">
        <f t="shared" si="1"/>
        <v>0</v>
      </c>
    </row>
    <row r="37" spans="1:10">
      <c r="A37" s="227" t="s">
        <v>321</v>
      </c>
      <c r="H37" s="228">
        <f t="shared" si="0"/>
        <v>0</v>
      </c>
      <c r="J37" s="228">
        <f t="shared" si="1"/>
        <v>0</v>
      </c>
    </row>
    <row r="38" spans="1:10">
      <c r="A38" s="227" t="s">
        <v>322</v>
      </c>
      <c r="H38" s="228">
        <f t="shared" si="0"/>
        <v>0</v>
      </c>
      <c r="J38" s="228">
        <f t="shared" si="1"/>
        <v>0</v>
      </c>
    </row>
    <row r="39" spans="1:10">
      <c r="A39" s="227" t="s">
        <v>323</v>
      </c>
      <c r="H39" s="228">
        <f t="shared" si="0"/>
        <v>0</v>
      </c>
      <c r="J39" s="228">
        <f t="shared" si="1"/>
        <v>0</v>
      </c>
    </row>
    <row r="40" spans="1:10">
      <c r="A40" s="227" t="s">
        <v>324</v>
      </c>
      <c r="H40" s="228">
        <f t="shared" si="0"/>
        <v>0</v>
      </c>
      <c r="J40" s="228">
        <f t="shared" si="1"/>
        <v>0</v>
      </c>
    </row>
    <row r="41" spans="1:10">
      <c r="A41" s="241" t="s">
        <v>325</v>
      </c>
      <c r="C41" s="246">
        <f>SUM(C37:C40)</f>
        <v>0</v>
      </c>
      <c r="E41" s="246"/>
      <c r="F41" s="246">
        <v>0</v>
      </c>
      <c r="H41" s="228">
        <f t="shared" si="0"/>
        <v>0</v>
      </c>
      <c r="J41" s="228">
        <f t="shared" si="1"/>
        <v>0</v>
      </c>
    </row>
    <row r="42" spans="1:10">
      <c r="H42" s="228">
        <f t="shared" si="0"/>
        <v>0</v>
      </c>
      <c r="J42" s="228">
        <f t="shared" si="1"/>
        <v>0</v>
      </c>
    </row>
    <row r="43" spans="1:10">
      <c r="A43" s="181" t="s">
        <v>326</v>
      </c>
      <c r="B43" s="181"/>
      <c r="C43" s="225">
        <f>C26+C34+C41</f>
        <v>-80.692000000051635</v>
      </c>
      <c r="D43" s="225">
        <f>D26+D34+D41</f>
        <v>0</v>
      </c>
      <c r="E43" s="225">
        <f>E26+E34+E41</f>
        <v>0</v>
      </c>
      <c r="F43" s="225">
        <v>5.3599999999860302</v>
      </c>
      <c r="H43" s="228">
        <f t="shared" si="0"/>
        <v>-11296.88000000723</v>
      </c>
      <c r="J43" s="228">
        <f t="shared" si="1"/>
        <v>744.66479999805915</v>
      </c>
    </row>
    <row r="44" spans="1:10">
      <c r="A44" s="181" t="s">
        <v>327</v>
      </c>
      <c r="B44" s="261"/>
      <c r="C44" s="225">
        <f>F45</f>
        <v>131.41999999998734</v>
      </c>
      <c r="D44" s="225"/>
      <c r="F44" s="225">
        <v>126.06000000000131</v>
      </c>
      <c r="H44" s="228">
        <f t="shared" si="0"/>
        <v>18398.799999998228</v>
      </c>
      <c r="J44" s="228">
        <f t="shared" si="1"/>
        <v>17513.515800000183</v>
      </c>
    </row>
    <row r="45" spans="1:10" ht="13.5" thickBot="1">
      <c r="A45" s="181" t="s">
        <v>328</v>
      </c>
      <c r="B45" s="261"/>
      <c r="C45" s="248">
        <f>SUM(C43:C44)</f>
        <v>50.727999999935705</v>
      </c>
      <c r="D45" s="225">
        <f>SUM(D43:D44)</f>
        <v>0</v>
      </c>
      <c r="E45" s="248">
        <f>SUM(E43:E44)</f>
        <v>0</v>
      </c>
      <c r="F45" s="248">
        <f>SUM(F43:F44)</f>
        <v>131.41999999998734</v>
      </c>
      <c r="H45" s="228">
        <f t="shared" si="0"/>
        <v>7101.9199999909988</v>
      </c>
      <c r="J45" s="228">
        <f t="shared" si="1"/>
        <v>18258.180599998243</v>
      </c>
    </row>
    <row r="46" spans="1:10" ht="13.5" thickTop="1">
      <c r="D46" s="225"/>
    </row>
    <row r="47" spans="1:10">
      <c r="C47" s="225">
        <f>C45-'[7]BGJ 2012'!E16</f>
        <v>-2.000000064292351E-3</v>
      </c>
      <c r="F47" s="225">
        <f>F45-'[7]BGJ 2012'!H16</f>
        <v>-1.2647660696529783E-11</v>
      </c>
    </row>
  </sheetData>
  <mergeCells count="3">
    <mergeCell ref="A4:F4"/>
    <mergeCell ref="A6:F6"/>
    <mergeCell ref="C9:F9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3"/>
  <sheetViews>
    <sheetView topLeftCell="A25" workbookViewId="0">
      <selection activeCell="F42" sqref="F42"/>
    </sheetView>
  </sheetViews>
  <sheetFormatPr defaultRowHeight="15"/>
  <cols>
    <col min="1" max="1" width="5.7109375" customWidth="1"/>
    <col min="2" max="2" width="47.42578125" customWidth="1"/>
    <col min="4" max="4" width="16.5703125" customWidth="1"/>
    <col min="5" max="5" width="14.7109375" customWidth="1"/>
  </cols>
  <sheetData>
    <row r="1" spans="1:5" ht="21">
      <c r="A1" s="407" t="s">
        <v>0</v>
      </c>
      <c r="B1" s="407"/>
      <c r="C1" s="407"/>
      <c r="D1" s="407"/>
      <c r="E1" s="407"/>
    </row>
    <row r="2" spans="1:5" ht="17.25" thickBot="1">
      <c r="A2" s="27"/>
      <c r="B2" s="2" t="s">
        <v>1</v>
      </c>
      <c r="C2" s="27"/>
      <c r="D2" s="27"/>
      <c r="E2" s="27"/>
    </row>
    <row r="3" spans="1:5" ht="16.5">
      <c r="A3" s="408" t="s">
        <v>2</v>
      </c>
      <c r="B3" s="410" t="s">
        <v>45</v>
      </c>
      <c r="C3" s="410" t="s">
        <v>46</v>
      </c>
      <c r="D3" s="28" t="s">
        <v>5</v>
      </c>
      <c r="E3" s="29" t="s">
        <v>5</v>
      </c>
    </row>
    <row r="4" spans="1:5" ht="16.5">
      <c r="A4" s="409"/>
      <c r="B4" s="411"/>
      <c r="C4" s="411"/>
      <c r="D4" s="30" t="s">
        <v>6</v>
      </c>
      <c r="E4" s="31" t="s">
        <v>7</v>
      </c>
    </row>
    <row r="5" spans="1:5">
      <c r="A5" s="32" t="s">
        <v>8</v>
      </c>
      <c r="B5" s="33" t="s">
        <v>47</v>
      </c>
      <c r="C5" s="34" t="s">
        <v>10</v>
      </c>
      <c r="D5" s="35">
        <f>D6+D7+D10+D21+D22</f>
        <v>169232221.78357676</v>
      </c>
      <c r="E5" s="36">
        <f>E6+E7+E10+E21+E22</f>
        <v>82152443</v>
      </c>
    </row>
    <row r="6" spans="1:5" ht="16.5">
      <c r="A6" s="37"/>
      <c r="B6" s="38" t="s">
        <v>48</v>
      </c>
      <c r="C6" s="38"/>
      <c r="D6" s="19"/>
      <c r="E6" s="16"/>
    </row>
    <row r="7" spans="1:5" ht="16.5">
      <c r="A7" s="37"/>
      <c r="B7" s="39" t="s">
        <v>49</v>
      </c>
      <c r="C7" s="40"/>
      <c r="D7" s="19">
        <f>SUM(D8:D9)</f>
        <v>0</v>
      </c>
      <c r="E7" s="16">
        <f>+E9</f>
        <v>0</v>
      </c>
    </row>
    <row r="8" spans="1:5" ht="16.5">
      <c r="A8" s="37"/>
      <c r="B8" s="41" t="s">
        <v>50</v>
      </c>
      <c r="C8" s="38"/>
      <c r="D8" s="19">
        <f>-[1]bilanci!G38+[1]akt!D8</f>
        <v>0</v>
      </c>
      <c r="E8" s="16"/>
    </row>
    <row r="9" spans="1:5" ht="16.5">
      <c r="A9" s="37"/>
      <c r="B9" s="41" t="s">
        <v>51</v>
      </c>
      <c r="C9" s="38"/>
      <c r="D9" s="19">
        <f>+[1]bilanci!H39</f>
        <v>0</v>
      </c>
      <c r="E9" s="16"/>
    </row>
    <row r="10" spans="1:5">
      <c r="A10" s="37"/>
      <c r="B10" s="38" t="s">
        <v>52</v>
      </c>
      <c r="C10" s="38"/>
      <c r="D10" s="11">
        <f>SUM(D11:D20)</f>
        <v>169232221.78357676</v>
      </c>
      <c r="E10" s="12">
        <f>SUM(E11:E20)</f>
        <v>82152443</v>
      </c>
    </row>
    <row r="11" spans="1:5" ht="16.5">
      <c r="A11" s="37"/>
      <c r="B11" s="41" t="s">
        <v>53</v>
      </c>
      <c r="C11" s="38"/>
      <c r="D11" s="19">
        <f>+[1]bilanci!H28</f>
        <v>100531392.18351996</v>
      </c>
      <c r="E11" s="16">
        <f>+[1]bilanci!D28</f>
        <v>72106776</v>
      </c>
    </row>
    <row r="12" spans="1:5" ht="16.5">
      <c r="A12" s="37"/>
      <c r="B12" s="41" t="s">
        <v>54</v>
      </c>
      <c r="C12" s="38"/>
      <c r="D12" s="19">
        <f>+[1]bilanci!H34</f>
        <v>197974.34274492413</v>
      </c>
      <c r="E12" s="16">
        <f>+[1]bilanci!D34</f>
        <v>159547</v>
      </c>
    </row>
    <row r="13" spans="1:5" ht="16.5">
      <c r="A13" s="37"/>
      <c r="B13" s="41" t="s">
        <v>55</v>
      </c>
      <c r="C13" s="38"/>
      <c r="D13" s="19">
        <f>+[1]bilanci!H35-D14</f>
        <v>710219.67172669247</v>
      </c>
      <c r="E13" s="16">
        <f>+[1]bilanci!D35-[1]pas.!E14</f>
        <v>362618</v>
      </c>
    </row>
    <row r="14" spans="1:5" ht="16.5">
      <c r="A14" s="37"/>
      <c r="B14" s="41" t="s">
        <v>56</v>
      </c>
      <c r="C14" s="38"/>
      <c r="D14" s="19">
        <v>342827</v>
      </c>
      <c r="E14" s="16">
        <v>86115</v>
      </c>
    </row>
    <row r="15" spans="1:5" ht="16.5">
      <c r="A15" s="37"/>
      <c r="B15" s="41" t="s">
        <v>57</v>
      </c>
      <c r="C15" s="38"/>
      <c r="D15" s="19">
        <f>+[1]bilanci!H32</f>
        <v>963726.58558519185</v>
      </c>
      <c r="E15" s="16">
        <v>7691892</v>
      </c>
    </row>
    <row r="16" spans="1:5" ht="16.5">
      <c r="A16" s="37"/>
      <c r="B16" s="41" t="s">
        <v>58</v>
      </c>
      <c r="C16" s="38"/>
      <c r="D16" s="19">
        <f>+[1]bilanci!H30</f>
        <v>0</v>
      </c>
      <c r="E16" s="16">
        <f>+[1]bilanci!D30</f>
        <v>1745495</v>
      </c>
    </row>
    <row r="17" spans="1:5" ht="16.5">
      <c r="A17" s="37"/>
      <c r="B17" s="41" t="s">
        <v>59</v>
      </c>
      <c r="C17" s="38"/>
      <c r="D17" s="19"/>
      <c r="E17" s="16"/>
    </row>
    <row r="18" spans="1:5" ht="16.5">
      <c r="A18" s="37"/>
      <c r="B18" s="41" t="s">
        <v>60</v>
      </c>
      <c r="C18" s="38"/>
      <c r="D18" s="19"/>
      <c r="E18" s="16"/>
    </row>
    <row r="19" spans="1:5" ht="16.5">
      <c r="A19" s="37"/>
      <c r="B19" s="41" t="s">
        <v>61</v>
      </c>
      <c r="C19" s="38"/>
      <c r="D19" s="19"/>
      <c r="E19" s="16"/>
    </row>
    <row r="20" spans="1:5" ht="16.5">
      <c r="A20" s="37"/>
      <c r="B20" s="41" t="s">
        <v>62</v>
      </c>
      <c r="C20" s="38"/>
      <c r="D20" s="19">
        <f>+[1]bilanci!H14</f>
        <v>66486082</v>
      </c>
      <c r="E20" s="16"/>
    </row>
    <row r="21" spans="1:5" ht="16.5">
      <c r="A21" s="37"/>
      <c r="B21" s="38" t="s">
        <v>63</v>
      </c>
      <c r="C21" s="38"/>
      <c r="D21" s="19"/>
      <c r="E21" s="16"/>
    </row>
    <row r="22" spans="1:5" ht="16.5">
      <c r="A22" s="37"/>
      <c r="B22" s="38" t="s">
        <v>64</v>
      </c>
      <c r="C22" s="38"/>
      <c r="D22" s="19"/>
      <c r="E22" s="16"/>
    </row>
    <row r="23" spans="1:5">
      <c r="A23" s="32" t="s">
        <v>33</v>
      </c>
      <c r="B23" s="42" t="s">
        <v>65</v>
      </c>
      <c r="C23" s="38"/>
      <c r="D23" s="11">
        <f>+D24+D28+D29</f>
        <v>178300888.01613998</v>
      </c>
      <c r="E23" s="12">
        <f>+E24+E28+E29+E30</f>
        <v>201129200</v>
      </c>
    </row>
    <row r="24" spans="1:5">
      <c r="A24" s="37"/>
      <c r="B24" s="38" t="s">
        <v>66</v>
      </c>
      <c r="C24" s="38"/>
      <c r="D24" s="11">
        <f>+D25+D26</f>
        <v>3274780.0061399993</v>
      </c>
      <c r="E24" s="12">
        <f>+E26+E25</f>
        <v>131574837</v>
      </c>
    </row>
    <row r="25" spans="1:5" ht="16.5">
      <c r="A25" s="37"/>
      <c r="B25" s="41" t="s">
        <v>67</v>
      </c>
      <c r="C25" s="38"/>
      <c r="D25" s="19">
        <f>+[1]bilanci!H27</f>
        <v>3274780.0061399993</v>
      </c>
      <c r="E25" s="16">
        <f>+[1]bilanci!D27</f>
        <v>6989750</v>
      </c>
    </row>
    <row r="26" spans="1:5" ht="16.5">
      <c r="A26" s="37"/>
      <c r="B26" s="41" t="s">
        <v>68</v>
      </c>
      <c r="C26" s="43"/>
      <c r="D26" s="19"/>
      <c r="E26" s="16">
        <f>+[1]bilanci!D12</f>
        <v>124585087</v>
      </c>
    </row>
    <row r="27" spans="1:5" ht="16.5">
      <c r="A27" s="37"/>
      <c r="B27" s="44" t="s">
        <v>69</v>
      </c>
      <c r="C27" s="40"/>
      <c r="D27" s="19"/>
      <c r="E27" s="16"/>
    </row>
    <row r="28" spans="1:5">
      <c r="A28" s="37"/>
      <c r="B28" s="38" t="s">
        <v>70</v>
      </c>
      <c r="C28" s="38"/>
      <c r="D28" s="11">
        <f>+[1]pas.!$D$28</f>
        <v>175026108.00999999</v>
      </c>
      <c r="E28" s="12">
        <f>+[1]bilanci!D11</f>
        <v>69554363</v>
      </c>
    </row>
    <row r="29" spans="1:5" ht="16.5">
      <c r="A29" s="37"/>
      <c r="B29" s="38" t="s">
        <v>71</v>
      </c>
      <c r="C29" s="38"/>
      <c r="D29" s="19"/>
      <c r="E29" s="16"/>
    </row>
    <row r="30" spans="1:5" ht="16.5">
      <c r="A30" s="37"/>
      <c r="B30" s="38" t="s">
        <v>72</v>
      </c>
      <c r="C30" s="38"/>
      <c r="D30" s="19"/>
      <c r="E30" s="16"/>
    </row>
    <row r="31" spans="1:5">
      <c r="A31" s="37"/>
      <c r="B31" s="42" t="s">
        <v>73</v>
      </c>
      <c r="C31" s="38"/>
      <c r="D31" s="11">
        <f>D23+D5</f>
        <v>347533109.79971671</v>
      </c>
      <c r="E31" s="12">
        <f>E23+E5</f>
        <v>283281643</v>
      </c>
    </row>
    <row r="32" spans="1:5" ht="16.5">
      <c r="A32" s="32" t="s">
        <v>74</v>
      </c>
      <c r="B32" s="42" t="s">
        <v>75</v>
      </c>
      <c r="C32" s="38"/>
      <c r="D32" s="11">
        <f>SUM(D33:D42)</f>
        <v>164060926.32486671</v>
      </c>
      <c r="E32" s="16">
        <f>SUM(E33:E42)</f>
        <v>115735952</v>
      </c>
    </row>
    <row r="33" spans="1:5" ht="16.5">
      <c r="A33" s="37"/>
      <c r="B33" s="38" t="s">
        <v>76</v>
      </c>
      <c r="C33" s="38"/>
      <c r="D33" s="19"/>
      <c r="E33" s="16"/>
    </row>
    <row r="34" spans="1:5" ht="16.5">
      <c r="A34" s="37"/>
      <c r="B34" s="38" t="s">
        <v>77</v>
      </c>
      <c r="C34" s="38"/>
      <c r="D34" s="19"/>
      <c r="E34" s="16"/>
    </row>
    <row r="35" spans="1:5" ht="16.5">
      <c r="A35" s="37"/>
      <c r="B35" s="38" t="s">
        <v>78</v>
      </c>
      <c r="C35" s="38"/>
      <c r="D35" s="19">
        <f>+[1]bilanci!H5</f>
        <v>80000000</v>
      </c>
      <c r="E35" s="16">
        <f>+[1]bilanci!D5</f>
        <v>10500000</v>
      </c>
    </row>
    <row r="36" spans="1:5" ht="16.5">
      <c r="A36" s="37"/>
      <c r="B36" s="38" t="s">
        <v>79</v>
      </c>
      <c r="C36" s="38"/>
      <c r="D36" s="19"/>
      <c r="E36" s="12"/>
    </row>
    <row r="37" spans="1:5" ht="16.5">
      <c r="A37" s="37"/>
      <c r="B37" s="38" t="s">
        <v>80</v>
      </c>
      <c r="C37" s="38"/>
      <c r="D37" s="19"/>
      <c r="E37" s="16"/>
    </row>
    <row r="38" spans="1:5" ht="16.5">
      <c r="A38" s="37"/>
      <c r="B38" s="38" t="s">
        <v>81</v>
      </c>
      <c r="C38" s="38"/>
      <c r="D38" s="19">
        <f>+[1]bilanci!H7</f>
        <v>0</v>
      </c>
      <c r="E38" s="16">
        <f>+[1]bilanci!D7</f>
        <v>0</v>
      </c>
    </row>
    <row r="39" spans="1:5" ht="16.5">
      <c r="A39" s="37"/>
      <c r="B39" s="38" t="s">
        <v>82</v>
      </c>
      <c r="C39" s="38"/>
      <c r="D39" s="19">
        <f>+[1]bilanci!H6</f>
        <v>6048997</v>
      </c>
      <c r="E39" s="16">
        <f>+[1]bilanci!D6</f>
        <v>2605124</v>
      </c>
    </row>
    <row r="40" spans="1:5" ht="16.5">
      <c r="A40" s="37"/>
      <c r="B40" s="38" t="s">
        <v>83</v>
      </c>
      <c r="C40" s="38"/>
      <c r="D40" s="19">
        <f>+[1]bilanci!H8</f>
        <v>29686955</v>
      </c>
      <c r="E40" s="16">
        <f>+[1]bilanci!D8</f>
        <v>33753359</v>
      </c>
    </row>
    <row r="41" spans="1:5" ht="16.5">
      <c r="A41" s="37"/>
      <c r="B41" s="38" t="s">
        <v>84</v>
      </c>
      <c r="C41" s="38"/>
      <c r="D41" s="19"/>
      <c r="E41" s="16"/>
    </row>
    <row r="42" spans="1:5" ht="16.5">
      <c r="A42" s="37"/>
      <c r="B42" s="38" t="s">
        <v>85</v>
      </c>
      <c r="C42" s="38"/>
      <c r="D42" s="19">
        <f>+[1]bilanci!H9</f>
        <v>48324974.324866697</v>
      </c>
      <c r="E42" s="16">
        <f>+[1]bilanci!D9</f>
        <v>68877469</v>
      </c>
    </row>
    <row r="43" spans="1:5">
      <c r="A43" s="37"/>
      <c r="B43" s="38" t="s">
        <v>86</v>
      </c>
      <c r="C43" s="38"/>
      <c r="D43" s="11">
        <f>D5+D23+D32</f>
        <v>511594036.12458342</v>
      </c>
      <c r="E43" s="12">
        <f>E5+E23+E32</f>
        <v>399017595</v>
      </c>
    </row>
  </sheetData>
  <mergeCells count="4">
    <mergeCell ref="A1:E1"/>
    <mergeCell ref="A3:A4"/>
    <mergeCell ref="B3:B4"/>
    <mergeCell ref="C3:C4"/>
  </mergeCells>
  <pageMargins left="0.28999999999999998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topLeftCell="A11" workbookViewId="0">
      <selection activeCell="I16" sqref="I16"/>
    </sheetView>
  </sheetViews>
  <sheetFormatPr defaultRowHeight="15"/>
  <cols>
    <col min="1" max="1" width="4.85546875" customWidth="1"/>
    <col min="2" max="2" width="59" customWidth="1"/>
    <col min="3" max="3" width="16" customWidth="1"/>
    <col min="4" max="4" width="15.7109375" customWidth="1"/>
    <col min="8" max="8" width="12.5703125" bestFit="1" customWidth="1"/>
  </cols>
  <sheetData>
    <row r="1" spans="1:4" ht="21">
      <c r="A1" s="45" t="s">
        <v>87</v>
      </c>
      <c r="B1" s="46"/>
      <c r="C1" s="46"/>
      <c r="D1" s="46"/>
    </row>
    <row r="2" spans="1:4" ht="21">
      <c r="A2" s="47" t="s">
        <v>88</v>
      </c>
      <c r="B2" s="48"/>
      <c r="C2" s="48"/>
      <c r="D2" s="48"/>
    </row>
    <row r="3" spans="1:4" ht="16.5">
      <c r="A3" s="49"/>
      <c r="B3" s="49"/>
      <c r="C3" s="49"/>
      <c r="D3" s="49"/>
    </row>
    <row r="4" spans="1:4" ht="16.5">
      <c r="A4" s="49"/>
      <c r="B4" s="50" t="s">
        <v>1</v>
      </c>
      <c r="C4" s="49"/>
      <c r="D4" s="49"/>
    </row>
    <row r="5" spans="1:4" ht="16.5">
      <c r="A5" s="51"/>
      <c r="B5" s="49"/>
      <c r="C5" s="49"/>
      <c r="D5" s="49"/>
    </row>
    <row r="6" spans="1:4" ht="16.5">
      <c r="A6" s="52" t="s">
        <v>2</v>
      </c>
      <c r="B6" s="53" t="s">
        <v>89</v>
      </c>
      <c r="C6" s="52" t="s">
        <v>5</v>
      </c>
      <c r="D6" s="52" t="s">
        <v>5</v>
      </c>
    </row>
    <row r="7" spans="1:4" ht="16.5">
      <c r="A7" s="54"/>
      <c r="B7" s="55"/>
      <c r="C7" s="54" t="s">
        <v>6</v>
      </c>
      <c r="D7" s="54" t="s">
        <v>7</v>
      </c>
    </row>
    <row r="8" spans="1:4" ht="16.5">
      <c r="A8" s="56">
        <v>1</v>
      </c>
      <c r="B8" s="57" t="s">
        <v>90</v>
      </c>
      <c r="C8" s="58">
        <f>+[1]bilanci!F49</f>
        <v>729109001.97240007</v>
      </c>
      <c r="D8" s="58">
        <f>+'[2]a-sh.nat'!$C$8</f>
        <v>356259925.18999994</v>
      </c>
    </row>
    <row r="9" spans="1:4" ht="16.5">
      <c r="A9" s="56"/>
      <c r="B9" s="57" t="s">
        <v>91</v>
      </c>
      <c r="C9" s="58"/>
      <c r="D9" s="58"/>
    </row>
    <row r="10" spans="1:4" ht="16.5">
      <c r="A10" s="56">
        <v>2</v>
      </c>
      <c r="B10" s="59" t="s">
        <v>92</v>
      </c>
      <c r="C10" s="22"/>
      <c r="D10" s="22"/>
    </row>
    <row r="11" spans="1:4" ht="16.5">
      <c r="A11" s="56">
        <v>3</v>
      </c>
      <c r="B11" s="60" t="s">
        <v>93</v>
      </c>
      <c r="C11" s="22">
        <f>+[1]bilanci!G25-[1]bilanci!C25</f>
        <v>6312568.0027000904</v>
      </c>
      <c r="D11" s="22">
        <f>+'[2]a-sh.nat'!$C$11</f>
        <v>-23727222.513399988</v>
      </c>
    </row>
    <row r="12" spans="1:4" ht="16.5">
      <c r="A12" s="56">
        <v>4</v>
      </c>
      <c r="B12" s="59" t="s">
        <v>94</v>
      </c>
      <c r="C12" s="61">
        <f>+[1]imp.12!E157+[1]Foglio1!I1362</f>
        <v>423507279.90270007</v>
      </c>
      <c r="D12" s="61">
        <f>+'[2]a-sh.nat'!$C$12</f>
        <v>158278378.48660001</v>
      </c>
    </row>
    <row r="13" spans="1:4" ht="16.5">
      <c r="A13" s="56"/>
      <c r="B13" s="59" t="s">
        <v>95</v>
      </c>
      <c r="C13" s="61"/>
      <c r="D13" s="61">
        <f>+D9</f>
        <v>0</v>
      </c>
    </row>
    <row r="14" spans="1:4" ht="16.5">
      <c r="A14" s="56">
        <v>5</v>
      </c>
      <c r="B14" s="59" t="s">
        <v>96</v>
      </c>
      <c r="C14" s="61">
        <f>+C15+C16</f>
        <v>39886126.819471613</v>
      </c>
      <c r="D14" s="61">
        <f>+D15+D16</f>
        <v>12023071.826072307</v>
      </c>
    </row>
    <row r="15" spans="1:4" ht="16.5">
      <c r="A15" s="56"/>
      <c r="B15" s="62" t="s">
        <v>97</v>
      </c>
      <c r="C15" s="22">
        <f>+[1]bilanci!E57</f>
        <v>36078285.147923075</v>
      </c>
      <c r="D15" s="22">
        <f>+'[2]a-sh.nat'!$C$15</f>
        <v>10302540.909230769</v>
      </c>
    </row>
    <row r="16" spans="1:4" ht="16.5">
      <c r="A16" s="56"/>
      <c r="B16" s="63" t="s">
        <v>98</v>
      </c>
      <c r="C16" s="22">
        <f>+[1]bilanci!E58</f>
        <v>3807841.6715485379</v>
      </c>
      <c r="D16" s="22">
        <f>+'[2]a-sh.nat'!$C$16</f>
        <v>1720530.9168415382</v>
      </c>
    </row>
    <row r="17" spans="1:4" ht="16.5">
      <c r="A17" s="56">
        <v>6</v>
      </c>
      <c r="B17" s="59" t="s">
        <v>99</v>
      </c>
      <c r="C17" s="22">
        <f>+[1]bilanci!E74</f>
        <v>21608631.240943331</v>
      </c>
      <c r="D17" s="22">
        <f>+'[2]a-sh.nat'!$C$17</f>
        <v>11257082.803359997</v>
      </c>
    </row>
    <row r="18" spans="1:4" ht="16.5">
      <c r="A18" s="56">
        <v>7</v>
      </c>
      <c r="B18" s="59" t="s">
        <v>100</v>
      </c>
      <c r="C18" s="22">
        <f>+[1]bilanci!E56+[1]bilanci!E62+[1]bilanci!E63+[1]bilanci!E68+[1]bilanci!E70+[1]bilanci!E55+[1]bilanci!E69+[1]bilanci!E60+[1]bilanci!E66+[1]bilanci!E54+[1]bilanci!E59+[1]bilanci!E65+[1]bilanci!E61+[1]bilanci!E64+[1]bilanci!E67</f>
        <v>115315374.93003333</v>
      </c>
      <c r="D18" s="22">
        <f>+'[2]a-sh.nat'!$C$18</f>
        <v>38727828.911260001</v>
      </c>
    </row>
    <row r="19" spans="1:4" ht="16.5">
      <c r="A19" s="64">
        <v>7.1</v>
      </c>
      <c r="B19" s="59" t="s">
        <v>101</v>
      </c>
      <c r="C19" s="22">
        <f>[1]bilanci!E75</f>
        <v>61516358.9454</v>
      </c>
      <c r="D19" s="22">
        <f>+'[2]a-sh.nat'!$C$19</f>
        <v>18012937.225500003</v>
      </c>
    </row>
    <row r="20" spans="1:4" ht="16.5">
      <c r="A20" s="56">
        <v>8</v>
      </c>
      <c r="B20" s="65" t="s">
        <v>102</v>
      </c>
      <c r="C20" s="61">
        <f>C12+C14+C17+C18+C19+C13</f>
        <v>661833771.8385483</v>
      </c>
      <c r="D20" s="61">
        <f>D12+D14+D17+D18+D19+D13</f>
        <v>238299299.2527923</v>
      </c>
    </row>
    <row r="21" spans="1:4" ht="16.5">
      <c r="A21" s="56">
        <v>9</v>
      </c>
      <c r="B21" s="59" t="s">
        <v>103</v>
      </c>
      <c r="C21" s="61">
        <f>C8+C10+C11-C20+C9</f>
        <v>73587798.136551857</v>
      </c>
      <c r="D21" s="61">
        <f>D8+D10+D11-D20+D9</f>
        <v>94233403.423807681</v>
      </c>
    </row>
    <row r="22" spans="1:4" ht="16.5">
      <c r="A22" s="56">
        <v>10</v>
      </c>
      <c r="B22" s="59" t="s">
        <v>104</v>
      </c>
      <c r="C22" s="22"/>
      <c r="D22" s="22"/>
    </row>
    <row r="23" spans="1:4" ht="16.5">
      <c r="A23" s="56">
        <v>11</v>
      </c>
      <c r="B23" s="59" t="s">
        <v>105</v>
      </c>
      <c r="C23" s="22"/>
      <c r="D23" s="22"/>
    </row>
    <row r="24" spans="1:4" ht="16.5">
      <c r="A24" s="56">
        <v>12</v>
      </c>
      <c r="B24" s="59" t="s">
        <v>106</v>
      </c>
      <c r="C24" s="61">
        <f>C26+C28+C27</f>
        <v>-13058231.226099998</v>
      </c>
      <c r="D24" s="61">
        <f>+D26+D27+D28</f>
        <v>-15701444.491966672</v>
      </c>
    </row>
    <row r="25" spans="1:4" ht="16.5">
      <c r="A25" s="66"/>
      <c r="B25" s="62" t="s">
        <v>107</v>
      </c>
      <c r="C25" s="22"/>
      <c r="D25" s="22"/>
    </row>
    <row r="26" spans="1:4" ht="16.5">
      <c r="A26" s="66"/>
      <c r="B26" s="62" t="s">
        <v>108</v>
      </c>
      <c r="C26" s="22">
        <f>-[1]bilanci!E71-[1]bilanci!E72</f>
        <v>-13058231.226099998</v>
      </c>
      <c r="D26" s="22">
        <f>+'[2]a-sh.nat'!$C$26</f>
        <v>-12342081.0381</v>
      </c>
    </row>
    <row r="27" spans="1:4" ht="16.5">
      <c r="A27" s="66"/>
      <c r="B27" s="62" t="s">
        <v>109</v>
      </c>
      <c r="C27" s="22">
        <f>-[1]bilanci!E73</f>
        <v>0</v>
      </c>
      <c r="D27" s="22">
        <f>+'[2]a-sh.nat'!$C$27</f>
        <v>-3361169.5538666714</v>
      </c>
    </row>
    <row r="28" spans="1:4" ht="16.5">
      <c r="A28" s="66"/>
      <c r="B28" s="62" t="s">
        <v>110</v>
      </c>
      <c r="C28" s="22">
        <f>[1]bilanci!F50</f>
        <v>0</v>
      </c>
      <c r="D28" s="22">
        <f>+'[2]a-sh.nat'!$C$28</f>
        <v>1806.1</v>
      </c>
    </row>
    <row r="29" spans="1:4">
      <c r="A29" s="66">
        <v>13</v>
      </c>
      <c r="B29" s="67" t="s">
        <v>111</v>
      </c>
      <c r="C29" s="61">
        <f>+C24</f>
        <v>-13058231.226099998</v>
      </c>
      <c r="D29" s="61">
        <f>+D24</f>
        <v>-15701444.491966672</v>
      </c>
    </row>
    <row r="30" spans="1:4">
      <c r="A30" s="66">
        <v>14</v>
      </c>
      <c r="B30" s="67" t="s">
        <v>112</v>
      </c>
      <c r="C30" s="61">
        <f>+C21+C29</f>
        <v>60529566.910451859</v>
      </c>
      <c r="D30" s="61">
        <f>+D21+D29</f>
        <v>78531958.931841016</v>
      </c>
    </row>
    <row r="31" spans="1:4" ht="16.5">
      <c r="A31" s="56">
        <v>15</v>
      </c>
      <c r="B31" s="59" t="s">
        <v>113</v>
      </c>
      <c r="C31" s="22">
        <f>(+C30+C19)*0.1</f>
        <v>12204592.585585186</v>
      </c>
      <c r="D31" s="22">
        <f>(+D30+D19)*0.1</f>
        <v>9654489.6157341022</v>
      </c>
    </row>
    <row r="32" spans="1:4" ht="16.5">
      <c r="A32" s="66">
        <v>16</v>
      </c>
      <c r="B32" s="60" t="s">
        <v>114</v>
      </c>
      <c r="C32" s="61">
        <f>+C30-C31</f>
        <v>48324974.324866675</v>
      </c>
      <c r="D32" s="61">
        <f>+D30-D31</f>
        <v>68877469.316106915</v>
      </c>
    </row>
    <row r="33" spans="1:4" ht="16.5">
      <c r="A33" s="56">
        <v>17</v>
      </c>
      <c r="B33" s="59" t="s">
        <v>115</v>
      </c>
      <c r="C33" s="22"/>
      <c r="D33" s="22"/>
    </row>
  </sheetData>
  <pageMargins left="0.53" right="0.26" top="0.75" bottom="0.75" header="0.31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M27"/>
  <sheetViews>
    <sheetView topLeftCell="A13" workbookViewId="0">
      <selection activeCell="B11" sqref="B11"/>
    </sheetView>
  </sheetViews>
  <sheetFormatPr defaultColWidth="15.140625" defaultRowHeight="16.5"/>
  <cols>
    <col min="1" max="1" width="5.7109375" style="68" customWidth="1"/>
    <col min="2" max="2" width="32.5703125" style="68" customWidth="1"/>
    <col min="3" max="3" width="15.140625" style="68" customWidth="1"/>
    <col min="4" max="4" width="10.42578125" style="68" customWidth="1"/>
    <col min="5" max="5" width="10.140625" style="68" customWidth="1"/>
    <col min="6" max="6" width="12.7109375" style="68" customWidth="1"/>
    <col min="7" max="256" width="15.140625" style="68"/>
    <col min="257" max="257" width="7.5703125" style="68" customWidth="1"/>
    <col min="258" max="258" width="32.5703125" style="68" customWidth="1"/>
    <col min="259" max="259" width="15.140625" style="68" customWidth="1"/>
    <col min="260" max="260" width="13.85546875" style="68" customWidth="1"/>
    <col min="261" max="261" width="12.7109375" style="68" customWidth="1"/>
    <col min="262" max="512" width="15.140625" style="68"/>
    <col min="513" max="513" width="7.5703125" style="68" customWidth="1"/>
    <col min="514" max="514" width="32.5703125" style="68" customWidth="1"/>
    <col min="515" max="515" width="15.140625" style="68" customWidth="1"/>
    <col min="516" max="516" width="13.85546875" style="68" customWidth="1"/>
    <col min="517" max="517" width="12.7109375" style="68" customWidth="1"/>
    <col min="518" max="768" width="15.140625" style="68"/>
    <col min="769" max="769" width="7.5703125" style="68" customWidth="1"/>
    <col min="770" max="770" width="32.5703125" style="68" customWidth="1"/>
    <col min="771" max="771" width="15.140625" style="68" customWidth="1"/>
    <col min="772" max="772" width="13.85546875" style="68" customWidth="1"/>
    <col min="773" max="773" width="12.7109375" style="68" customWidth="1"/>
    <col min="774" max="1024" width="15.140625" style="68"/>
    <col min="1025" max="1025" width="7.5703125" style="68" customWidth="1"/>
    <col min="1026" max="1026" width="32.5703125" style="68" customWidth="1"/>
    <col min="1027" max="1027" width="15.140625" style="68" customWidth="1"/>
    <col min="1028" max="1028" width="13.85546875" style="68" customWidth="1"/>
    <col min="1029" max="1029" width="12.7109375" style="68" customWidth="1"/>
    <col min="1030" max="1280" width="15.140625" style="68"/>
    <col min="1281" max="1281" width="7.5703125" style="68" customWidth="1"/>
    <col min="1282" max="1282" width="32.5703125" style="68" customWidth="1"/>
    <col min="1283" max="1283" width="15.140625" style="68" customWidth="1"/>
    <col min="1284" max="1284" width="13.85546875" style="68" customWidth="1"/>
    <col min="1285" max="1285" width="12.7109375" style="68" customWidth="1"/>
    <col min="1286" max="1536" width="15.140625" style="68"/>
    <col min="1537" max="1537" width="7.5703125" style="68" customWidth="1"/>
    <col min="1538" max="1538" width="32.5703125" style="68" customWidth="1"/>
    <col min="1539" max="1539" width="15.140625" style="68" customWidth="1"/>
    <col min="1540" max="1540" width="13.85546875" style="68" customWidth="1"/>
    <col min="1541" max="1541" width="12.7109375" style="68" customWidth="1"/>
    <col min="1542" max="1792" width="15.140625" style="68"/>
    <col min="1793" max="1793" width="7.5703125" style="68" customWidth="1"/>
    <col min="1794" max="1794" width="32.5703125" style="68" customWidth="1"/>
    <col min="1795" max="1795" width="15.140625" style="68" customWidth="1"/>
    <col min="1796" max="1796" width="13.85546875" style="68" customWidth="1"/>
    <col min="1797" max="1797" width="12.7109375" style="68" customWidth="1"/>
    <col min="1798" max="2048" width="15.140625" style="68"/>
    <col min="2049" max="2049" width="7.5703125" style="68" customWidth="1"/>
    <col min="2050" max="2050" width="32.5703125" style="68" customWidth="1"/>
    <col min="2051" max="2051" width="15.140625" style="68" customWidth="1"/>
    <col min="2052" max="2052" width="13.85546875" style="68" customWidth="1"/>
    <col min="2053" max="2053" width="12.7109375" style="68" customWidth="1"/>
    <col min="2054" max="2304" width="15.140625" style="68"/>
    <col min="2305" max="2305" width="7.5703125" style="68" customWidth="1"/>
    <col min="2306" max="2306" width="32.5703125" style="68" customWidth="1"/>
    <col min="2307" max="2307" width="15.140625" style="68" customWidth="1"/>
    <col min="2308" max="2308" width="13.85546875" style="68" customWidth="1"/>
    <col min="2309" max="2309" width="12.7109375" style="68" customWidth="1"/>
    <col min="2310" max="2560" width="15.140625" style="68"/>
    <col min="2561" max="2561" width="7.5703125" style="68" customWidth="1"/>
    <col min="2562" max="2562" width="32.5703125" style="68" customWidth="1"/>
    <col min="2563" max="2563" width="15.140625" style="68" customWidth="1"/>
    <col min="2564" max="2564" width="13.85546875" style="68" customWidth="1"/>
    <col min="2565" max="2565" width="12.7109375" style="68" customWidth="1"/>
    <col min="2566" max="2816" width="15.140625" style="68"/>
    <col min="2817" max="2817" width="7.5703125" style="68" customWidth="1"/>
    <col min="2818" max="2818" width="32.5703125" style="68" customWidth="1"/>
    <col min="2819" max="2819" width="15.140625" style="68" customWidth="1"/>
    <col min="2820" max="2820" width="13.85546875" style="68" customWidth="1"/>
    <col min="2821" max="2821" width="12.7109375" style="68" customWidth="1"/>
    <col min="2822" max="3072" width="15.140625" style="68"/>
    <col min="3073" max="3073" width="7.5703125" style="68" customWidth="1"/>
    <col min="3074" max="3074" width="32.5703125" style="68" customWidth="1"/>
    <col min="3075" max="3075" width="15.140625" style="68" customWidth="1"/>
    <col min="3076" max="3076" width="13.85546875" style="68" customWidth="1"/>
    <col min="3077" max="3077" width="12.7109375" style="68" customWidth="1"/>
    <col min="3078" max="3328" width="15.140625" style="68"/>
    <col min="3329" max="3329" width="7.5703125" style="68" customWidth="1"/>
    <col min="3330" max="3330" width="32.5703125" style="68" customWidth="1"/>
    <col min="3331" max="3331" width="15.140625" style="68" customWidth="1"/>
    <col min="3332" max="3332" width="13.85546875" style="68" customWidth="1"/>
    <col min="3333" max="3333" width="12.7109375" style="68" customWidth="1"/>
    <col min="3334" max="3584" width="15.140625" style="68"/>
    <col min="3585" max="3585" width="7.5703125" style="68" customWidth="1"/>
    <col min="3586" max="3586" width="32.5703125" style="68" customWidth="1"/>
    <col min="3587" max="3587" width="15.140625" style="68" customWidth="1"/>
    <col min="3588" max="3588" width="13.85546875" style="68" customWidth="1"/>
    <col min="3589" max="3589" width="12.7109375" style="68" customWidth="1"/>
    <col min="3590" max="3840" width="15.140625" style="68"/>
    <col min="3841" max="3841" width="7.5703125" style="68" customWidth="1"/>
    <col min="3842" max="3842" width="32.5703125" style="68" customWidth="1"/>
    <col min="3843" max="3843" width="15.140625" style="68" customWidth="1"/>
    <col min="3844" max="3844" width="13.85546875" style="68" customWidth="1"/>
    <col min="3845" max="3845" width="12.7109375" style="68" customWidth="1"/>
    <col min="3846" max="4096" width="15.140625" style="68"/>
    <col min="4097" max="4097" width="7.5703125" style="68" customWidth="1"/>
    <col min="4098" max="4098" width="32.5703125" style="68" customWidth="1"/>
    <col min="4099" max="4099" width="15.140625" style="68" customWidth="1"/>
    <col min="4100" max="4100" width="13.85546875" style="68" customWidth="1"/>
    <col min="4101" max="4101" width="12.7109375" style="68" customWidth="1"/>
    <col min="4102" max="4352" width="15.140625" style="68"/>
    <col min="4353" max="4353" width="7.5703125" style="68" customWidth="1"/>
    <col min="4354" max="4354" width="32.5703125" style="68" customWidth="1"/>
    <col min="4355" max="4355" width="15.140625" style="68" customWidth="1"/>
    <col min="4356" max="4356" width="13.85546875" style="68" customWidth="1"/>
    <col min="4357" max="4357" width="12.7109375" style="68" customWidth="1"/>
    <col min="4358" max="4608" width="15.140625" style="68"/>
    <col min="4609" max="4609" width="7.5703125" style="68" customWidth="1"/>
    <col min="4610" max="4610" width="32.5703125" style="68" customWidth="1"/>
    <col min="4611" max="4611" width="15.140625" style="68" customWidth="1"/>
    <col min="4612" max="4612" width="13.85546875" style="68" customWidth="1"/>
    <col min="4613" max="4613" width="12.7109375" style="68" customWidth="1"/>
    <col min="4614" max="4864" width="15.140625" style="68"/>
    <col min="4865" max="4865" width="7.5703125" style="68" customWidth="1"/>
    <col min="4866" max="4866" width="32.5703125" style="68" customWidth="1"/>
    <col min="4867" max="4867" width="15.140625" style="68" customWidth="1"/>
    <col min="4868" max="4868" width="13.85546875" style="68" customWidth="1"/>
    <col min="4869" max="4869" width="12.7109375" style="68" customWidth="1"/>
    <col min="4870" max="5120" width="15.140625" style="68"/>
    <col min="5121" max="5121" width="7.5703125" style="68" customWidth="1"/>
    <col min="5122" max="5122" width="32.5703125" style="68" customWidth="1"/>
    <col min="5123" max="5123" width="15.140625" style="68" customWidth="1"/>
    <col min="5124" max="5124" width="13.85546875" style="68" customWidth="1"/>
    <col min="5125" max="5125" width="12.7109375" style="68" customWidth="1"/>
    <col min="5126" max="5376" width="15.140625" style="68"/>
    <col min="5377" max="5377" width="7.5703125" style="68" customWidth="1"/>
    <col min="5378" max="5378" width="32.5703125" style="68" customWidth="1"/>
    <col min="5379" max="5379" width="15.140625" style="68" customWidth="1"/>
    <col min="5380" max="5380" width="13.85546875" style="68" customWidth="1"/>
    <col min="5381" max="5381" width="12.7109375" style="68" customWidth="1"/>
    <col min="5382" max="5632" width="15.140625" style="68"/>
    <col min="5633" max="5633" width="7.5703125" style="68" customWidth="1"/>
    <col min="5634" max="5634" width="32.5703125" style="68" customWidth="1"/>
    <col min="5635" max="5635" width="15.140625" style="68" customWidth="1"/>
    <col min="5636" max="5636" width="13.85546875" style="68" customWidth="1"/>
    <col min="5637" max="5637" width="12.7109375" style="68" customWidth="1"/>
    <col min="5638" max="5888" width="15.140625" style="68"/>
    <col min="5889" max="5889" width="7.5703125" style="68" customWidth="1"/>
    <col min="5890" max="5890" width="32.5703125" style="68" customWidth="1"/>
    <col min="5891" max="5891" width="15.140625" style="68" customWidth="1"/>
    <col min="5892" max="5892" width="13.85546875" style="68" customWidth="1"/>
    <col min="5893" max="5893" width="12.7109375" style="68" customWidth="1"/>
    <col min="5894" max="6144" width="15.140625" style="68"/>
    <col min="6145" max="6145" width="7.5703125" style="68" customWidth="1"/>
    <col min="6146" max="6146" width="32.5703125" style="68" customWidth="1"/>
    <col min="6147" max="6147" width="15.140625" style="68" customWidth="1"/>
    <col min="6148" max="6148" width="13.85546875" style="68" customWidth="1"/>
    <col min="6149" max="6149" width="12.7109375" style="68" customWidth="1"/>
    <col min="6150" max="6400" width="15.140625" style="68"/>
    <col min="6401" max="6401" width="7.5703125" style="68" customWidth="1"/>
    <col min="6402" max="6402" width="32.5703125" style="68" customWidth="1"/>
    <col min="6403" max="6403" width="15.140625" style="68" customWidth="1"/>
    <col min="6404" max="6404" width="13.85546875" style="68" customWidth="1"/>
    <col min="6405" max="6405" width="12.7109375" style="68" customWidth="1"/>
    <col min="6406" max="6656" width="15.140625" style="68"/>
    <col min="6657" max="6657" width="7.5703125" style="68" customWidth="1"/>
    <col min="6658" max="6658" width="32.5703125" style="68" customWidth="1"/>
    <col min="6659" max="6659" width="15.140625" style="68" customWidth="1"/>
    <col min="6660" max="6660" width="13.85546875" style="68" customWidth="1"/>
    <col min="6661" max="6661" width="12.7109375" style="68" customWidth="1"/>
    <col min="6662" max="6912" width="15.140625" style="68"/>
    <col min="6913" max="6913" width="7.5703125" style="68" customWidth="1"/>
    <col min="6914" max="6914" width="32.5703125" style="68" customWidth="1"/>
    <col min="6915" max="6915" width="15.140625" style="68" customWidth="1"/>
    <col min="6916" max="6916" width="13.85546875" style="68" customWidth="1"/>
    <col min="6917" max="6917" width="12.7109375" style="68" customWidth="1"/>
    <col min="6918" max="7168" width="15.140625" style="68"/>
    <col min="7169" max="7169" width="7.5703125" style="68" customWidth="1"/>
    <col min="7170" max="7170" width="32.5703125" style="68" customWidth="1"/>
    <col min="7171" max="7171" width="15.140625" style="68" customWidth="1"/>
    <col min="7172" max="7172" width="13.85546875" style="68" customWidth="1"/>
    <col min="7173" max="7173" width="12.7109375" style="68" customWidth="1"/>
    <col min="7174" max="7424" width="15.140625" style="68"/>
    <col min="7425" max="7425" width="7.5703125" style="68" customWidth="1"/>
    <col min="7426" max="7426" width="32.5703125" style="68" customWidth="1"/>
    <col min="7427" max="7427" width="15.140625" style="68" customWidth="1"/>
    <col min="7428" max="7428" width="13.85546875" style="68" customWidth="1"/>
    <col min="7429" max="7429" width="12.7109375" style="68" customWidth="1"/>
    <col min="7430" max="7680" width="15.140625" style="68"/>
    <col min="7681" max="7681" width="7.5703125" style="68" customWidth="1"/>
    <col min="7682" max="7682" width="32.5703125" style="68" customWidth="1"/>
    <col min="7683" max="7683" width="15.140625" style="68" customWidth="1"/>
    <col min="7684" max="7684" width="13.85546875" style="68" customWidth="1"/>
    <col min="7685" max="7685" width="12.7109375" style="68" customWidth="1"/>
    <col min="7686" max="7936" width="15.140625" style="68"/>
    <col min="7937" max="7937" width="7.5703125" style="68" customWidth="1"/>
    <col min="7938" max="7938" width="32.5703125" style="68" customWidth="1"/>
    <col min="7939" max="7939" width="15.140625" style="68" customWidth="1"/>
    <col min="7940" max="7940" width="13.85546875" style="68" customWidth="1"/>
    <col min="7941" max="7941" width="12.7109375" style="68" customWidth="1"/>
    <col min="7942" max="8192" width="15.140625" style="68"/>
    <col min="8193" max="8193" width="7.5703125" style="68" customWidth="1"/>
    <col min="8194" max="8194" width="32.5703125" style="68" customWidth="1"/>
    <col min="8195" max="8195" width="15.140625" style="68" customWidth="1"/>
    <col min="8196" max="8196" width="13.85546875" style="68" customWidth="1"/>
    <col min="8197" max="8197" width="12.7109375" style="68" customWidth="1"/>
    <col min="8198" max="8448" width="15.140625" style="68"/>
    <col min="8449" max="8449" width="7.5703125" style="68" customWidth="1"/>
    <col min="8450" max="8450" width="32.5703125" style="68" customWidth="1"/>
    <col min="8451" max="8451" width="15.140625" style="68" customWidth="1"/>
    <col min="8452" max="8452" width="13.85546875" style="68" customWidth="1"/>
    <col min="8453" max="8453" width="12.7109375" style="68" customWidth="1"/>
    <col min="8454" max="8704" width="15.140625" style="68"/>
    <col min="8705" max="8705" width="7.5703125" style="68" customWidth="1"/>
    <col min="8706" max="8706" width="32.5703125" style="68" customWidth="1"/>
    <col min="8707" max="8707" width="15.140625" style="68" customWidth="1"/>
    <col min="8708" max="8708" width="13.85546875" style="68" customWidth="1"/>
    <col min="8709" max="8709" width="12.7109375" style="68" customWidth="1"/>
    <col min="8710" max="8960" width="15.140625" style="68"/>
    <col min="8961" max="8961" width="7.5703125" style="68" customWidth="1"/>
    <col min="8962" max="8962" width="32.5703125" style="68" customWidth="1"/>
    <col min="8963" max="8963" width="15.140625" style="68" customWidth="1"/>
    <col min="8964" max="8964" width="13.85546875" style="68" customWidth="1"/>
    <col min="8965" max="8965" width="12.7109375" style="68" customWidth="1"/>
    <col min="8966" max="9216" width="15.140625" style="68"/>
    <col min="9217" max="9217" width="7.5703125" style="68" customWidth="1"/>
    <col min="9218" max="9218" width="32.5703125" style="68" customWidth="1"/>
    <col min="9219" max="9219" width="15.140625" style="68" customWidth="1"/>
    <col min="9220" max="9220" width="13.85546875" style="68" customWidth="1"/>
    <col min="9221" max="9221" width="12.7109375" style="68" customWidth="1"/>
    <col min="9222" max="9472" width="15.140625" style="68"/>
    <col min="9473" max="9473" width="7.5703125" style="68" customWidth="1"/>
    <col min="9474" max="9474" width="32.5703125" style="68" customWidth="1"/>
    <col min="9475" max="9475" width="15.140625" style="68" customWidth="1"/>
    <col min="9476" max="9476" width="13.85546875" style="68" customWidth="1"/>
    <col min="9477" max="9477" width="12.7109375" style="68" customWidth="1"/>
    <col min="9478" max="9728" width="15.140625" style="68"/>
    <col min="9729" max="9729" width="7.5703125" style="68" customWidth="1"/>
    <col min="9730" max="9730" width="32.5703125" style="68" customWidth="1"/>
    <col min="9731" max="9731" width="15.140625" style="68" customWidth="1"/>
    <col min="9732" max="9732" width="13.85546875" style="68" customWidth="1"/>
    <col min="9733" max="9733" width="12.7109375" style="68" customWidth="1"/>
    <col min="9734" max="9984" width="15.140625" style="68"/>
    <col min="9985" max="9985" width="7.5703125" style="68" customWidth="1"/>
    <col min="9986" max="9986" width="32.5703125" style="68" customWidth="1"/>
    <col min="9987" max="9987" width="15.140625" style="68" customWidth="1"/>
    <col min="9988" max="9988" width="13.85546875" style="68" customWidth="1"/>
    <col min="9989" max="9989" width="12.7109375" style="68" customWidth="1"/>
    <col min="9990" max="10240" width="15.140625" style="68"/>
    <col min="10241" max="10241" width="7.5703125" style="68" customWidth="1"/>
    <col min="10242" max="10242" width="32.5703125" style="68" customWidth="1"/>
    <col min="10243" max="10243" width="15.140625" style="68" customWidth="1"/>
    <col min="10244" max="10244" width="13.85546875" style="68" customWidth="1"/>
    <col min="10245" max="10245" width="12.7109375" style="68" customWidth="1"/>
    <col min="10246" max="10496" width="15.140625" style="68"/>
    <col min="10497" max="10497" width="7.5703125" style="68" customWidth="1"/>
    <col min="10498" max="10498" width="32.5703125" style="68" customWidth="1"/>
    <col min="10499" max="10499" width="15.140625" style="68" customWidth="1"/>
    <col min="10500" max="10500" width="13.85546875" style="68" customWidth="1"/>
    <col min="10501" max="10501" width="12.7109375" style="68" customWidth="1"/>
    <col min="10502" max="10752" width="15.140625" style="68"/>
    <col min="10753" max="10753" width="7.5703125" style="68" customWidth="1"/>
    <col min="10754" max="10754" width="32.5703125" style="68" customWidth="1"/>
    <col min="10755" max="10755" width="15.140625" style="68" customWidth="1"/>
    <col min="10756" max="10756" width="13.85546875" style="68" customWidth="1"/>
    <col min="10757" max="10757" width="12.7109375" style="68" customWidth="1"/>
    <col min="10758" max="11008" width="15.140625" style="68"/>
    <col min="11009" max="11009" width="7.5703125" style="68" customWidth="1"/>
    <col min="11010" max="11010" width="32.5703125" style="68" customWidth="1"/>
    <col min="11011" max="11011" width="15.140625" style="68" customWidth="1"/>
    <col min="11012" max="11012" width="13.85546875" style="68" customWidth="1"/>
    <col min="11013" max="11013" width="12.7109375" style="68" customWidth="1"/>
    <col min="11014" max="11264" width="15.140625" style="68"/>
    <col min="11265" max="11265" width="7.5703125" style="68" customWidth="1"/>
    <col min="11266" max="11266" width="32.5703125" style="68" customWidth="1"/>
    <col min="11267" max="11267" width="15.140625" style="68" customWidth="1"/>
    <col min="11268" max="11268" width="13.85546875" style="68" customWidth="1"/>
    <col min="11269" max="11269" width="12.7109375" style="68" customWidth="1"/>
    <col min="11270" max="11520" width="15.140625" style="68"/>
    <col min="11521" max="11521" width="7.5703125" style="68" customWidth="1"/>
    <col min="11522" max="11522" width="32.5703125" style="68" customWidth="1"/>
    <col min="11523" max="11523" width="15.140625" style="68" customWidth="1"/>
    <col min="11524" max="11524" width="13.85546875" style="68" customWidth="1"/>
    <col min="11525" max="11525" width="12.7109375" style="68" customWidth="1"/>
    <col min="11526" max="11776" width="15.140625" style="68"/>
    <col min="11777" max="11777" width="7.5703125" style="68" customWidth="1"/>
    <col min="11778" max="11778" width="32.5703125" style="68" customWidth="1"/>
    <col min="11779" max="11779" width="15.140625" style="68" customWidth="1"/>
    <col min="11780" max="11780" width="13.85546875" style="68" customWidth="1"/>
    <col min="11781" max="11781" width="12.7109375" style="68" customWidth="1"/>
    <col min="11782" max="12032" width="15.140625" style="68"/>
    <col min="12033" max="12033" width="7.5703125" style="68" customWidth="1"/>
    <col min="12034" max="12034" width="32.5703125" style="68" customWidth="1"/>
    <col min="12035" max="12035" width="15.140625" style="68" customWidth="1"/>
    <col min="12036" max="12036" width="13.85546875" style="68" customWidth="1"/>
    <col min="12037" max="12037" width="12.7109375" style="68" customWidth="1"/>
    <col min="12038" max="12288" width="15.140625" style="68"/>
    <col min="12289" max="12289" width="7.5703125" style="68" customWidth="1"/>
    <col min="12290" max="12290" width="32.5703125" style="68" customWidth="1"/>
    <col min="12291" max="12291" width="15.140625" style="68" customWidth="1"/>
    <col min="12292" max="12292" width="13.85546875" style="68" customWidth="1"/>
    <col min="12293" max="12293" width="12.7109375" style="68" customWidth="1"/>
    <col min="12294" max="12544" width="15.140625" style="68"/>
    <col min="12545" max="12545" width="7.5703125" style="68" customWidth="1"/>
    <col min="12546" max="12546" width="32.5703125" style="68" customWidth="1"/>
    <col min="12547" max="12547" width="15.140625" style="68" customWidth="1"/>
    <col min="12548" max="12548" width="13.85546875" style="68" customWidth="1"/>
    <col min="12549" max="12549" width="12.7109375" style="68" customWidth="1"/>
    <col min="12550" max="12800" width="15.140625" style="68"/>
    <col min="12801" max="12801" width="7.5703125" style="68" customWidth="1"/>
    <col min="12802" max="12802" width="32.5703125" style="68" customWidth="1"/>
    <col min="12803" max="12803" width="15.140625" style="68" customWidth="1"/>
    <col min="12804" max="12804" width="13.85546875" style="68" customWidth="1"/>
    <col min="12805" max="12805" width="12.7109375" style="68" customWidth="1"/>
    <col min="12806" max="13056" width="15.140625" style="68"/>
    <col min="13057" max="13057" width="7.5703125" style="68" customWidth="1"/>
    <col min="13058" max="13058" width="32.5703125" style="68" customWidth="1"/>
    <col min="13059" max="13059" width="15.140625" style="68" customWidth="1"/>
    <col min="13060" max="13060" width="13.85546875" style="68" customWidth="1"/>
    <col min="13061" max="13061" width="12.7109375" style="68" customWidth="1"/>
    <col min="13062" max="13312" width="15.140625" style="68"/>
    <col min="13313" max="13313" width="7.5703125" style="68" customWidth="1"/>
    <col min="13314" max="13314" width="32.5703125" style="68" customWidth="1"/>
    <col min="13315" max="13315" width="15.140625" style="68" customWidth="1"/>
    <col min="13316" max="13316" width="13.85546875" style="68" customWidth="1"/>
    <col min="13317" max="13317" width="12.7109375" style="68" customWidth="1"/>
    <col min="13318" max="13568" width="15.140625" style="68"/>
    <col min="13569" max="13569" width="7.5703125" style="68" customWidth="1"/>
    <col min="13570" max="13570" width="32.5703125" style="68" customWidth="1"/>
    <col min="13571" max="13571" width="15.140625" style="68" customWidth="1"/>
    <col min="13572" max="13572" width="13.85546875" style="68" customWidth="1"/>
    <col min="13573" max="13573" width="12.7109375" style="68" customWidth="1"/>
    <col min="13574" max="13824" width="15.140625" style="68"/>
    <col min="13825" max="13825" width="7.5703125" style="68" customWidth="1"/>
    <col min="13826" max="13826" width="32.5703125" style="68" customWidth="1"/>
    <col min="13827" max="13827" width="15.140625" style="68" customWidth="1"/>
    <col min="13828" max="13828" width="13.85546875" style="68" customWidth="1"/>
    <col min="13829" max="13829" width="12.7109375" style="68" customWidth="1"/>
    <col min="13830" max="14080" width="15.140625" style="68"/>
    <col min="14081" max="14081" width="7.5703125" style="68" customWidth="1"/>
    <col min="14082" max="14082" width="32.5703125" style="68" customWidth="1"/>
    <col min="14083" max="14083" width="15.140625" style="68" customWidth="1"/>
    <col min="14084" max="14084" width="13.85546875" style="68" customWidth="1"/>
    <col min="14085" max="14085" width="12.7109375" style="68" customWidth="1"/>
    <col min="14086" max="14336" width="15.140625" style="68"/>
    <col min="14337" max="14337" width="7.5703125" style="68" customWidth="1"/>
    <col min="14338" max="14338" width="32.5703125" style="68" customWidth="1"/>
    <col min="14339" max="14339" width="15.140625" style="68" customWidth="1"/>
    <col min="14340" max="14340" width="13.85546875" style="68" customWidth="1"/>
    <col min="14341" max="14341" width="12.7109375" style="68" customWidth="1"/>
    <col min="14342" max="14592" width="15.140625" style="68"/>
    <col min="14593" max="14593" width="7.5703125" style="68" customWidth="1"/>
    <col min="14594" max="14594" width="32.5703125" style="68" customWidth="1"/>
    <col min="14595" max="14595" width="15.140625" style="68" customWidth="1"/>
    <col min="14596" max="14596" width="13.85546875" style="68" customWidth="1"/>
    <col min="14597" max="14597" width="12.7109375" style="68" customWidth="1"/>
    <col min="14598" max="14848" width="15.140625" style="68"/>
    <col min="14849" max="14849" width="7.5703125" style="68" customWidth="1"/>
    <col min="14850" max="14850" width="32.5703125" style="68" customWidth="1"/>
    <col min="14851" max="14851" width="15.140625" style="68" customWidth="1"/>
    <col min="14852" max="14852" width="13.85546875" style="68" customWidth="1"/>
    <col min="14853" max="14853" width="12.7109375" style="68" customWidth="1"/>
    <col min="14854" max="15104" width="15.140625" style="68"/>
    <col min="15105" max="15105" width="7.5703125" style="68" customWidth="1"/>
    <col min="15106" max="15106" width="32.5703125" style="68" customWidth="1"/>
    <col min="15107" max="15107" width="15.140625" style="68" customWidth="1"/>
    <col min="15108" max="15108" width="13.85546875" style="68" customWidth="1"/>
    <col min="15109" max="15109" width="12.7109375" style="68" customWidth="1"/>
    <col min="15110" max="15360" width="15.140625" style="68"/>
    <col min="15361" max="15361" width="7.5703125" style="68" customWidth="1"/>
    <col min="15362" max="15362" width="32.5703125" style="68" customWidth="1"/>
    <col min="15363" max="15363" width="15.140625" style="68" customWidth="1"/>
    <col min="15364" max="15364" width="13.85546875" style="68" customWidth="1"/>
    <col min="15365" max="15365" width="12.7109375" style="68" customWidth="1"/>
    <col min="15366" max="15616" width="15.140625" style="68"/>
    <col min="15617" max="15617" width="7.5703125" style="68" customWidth="1"/>
    <col min="15618" max="15618" width="32.5703125" style="68" customWidth="1"/>
    <col min="15619" max="15619" width="15.140625" style="68" customWidth="1"/>
    <col min="15620" max="15620" width="13.85546875" style="68" customWidth="1"/>
    <col min="15621" max="15621" width="12.7109375" style="68" customWidth="1"/>
    <col min="15622" max="15872" width="15.140625" style="68"/>
    <col min="15873" max="15873" width="7.5703125" style="68" customWidth="1"/>
    <col min="15874" max="15874" width="32.5703125" style="68" customWidth="1"/>
    <col min="15875" max="15875" width="15.140625" style="68" customWidth="1"/>
    <col min="15876" max="15876" width="13.85546875" style="68" customWidth="1"/>
    <col min="15877" max="15877" width="12.7109375" style="68" customWidth="1"/>
    <col min="15878" max="16128" width="15.140625" style="68"/>
    <col min="16129" max="16129" width="7.5703125" style="68" customWidth="1"/>
    <col min="16130" max="16130" width="32.5703125" style="68" customWidth="1"/>
    <col min="16131" max="16131" width="15.140625" style="68" customWidth="1"/>
    <col min="16132" max="16132" width="13.85546875" style="68" customWidth="1"/>
    <col min="16133" max="16133" width="12.7109375" style="68" customWidth="1"/>
    <col min="16134" max="16384" width="15.140625" style="68"/>
  </cols>
  <sheetData>
    <row r="2" spans="1:13">
      <c r="B2" s="2" t="s">
        <v>1</v>
      </c>
    </row>
    <row r="4" spans="1:13" s="69" customFormat="1" ht="18.75">
      <c r="A4" s="412" t="s">
        <v>116</v>
      </c>
      <c r="B4" s="412"/>
      <c r="C4" s="412"/>
      <c r="D4" s="412"/>
      <c r="E4" s="412"/>
      <c r="F4" s="412"/>
      <c r="G4" s="412"/>
      <c r="H4" s="412"/>
      <c r="I4" s="412"/>
      <c r="J4" s="412"/>
    </row>
    <row r="6" spans="1:13">
      <c r="B6" s="70" t="s">
        <v>117</v>
      </c>
    </row>
    <row r="7" spans="1:13" ht="17.25" thickBot="1">
      <c r="J7" s="71"/>
      <c r="K7" s="71"/>
      <c r="L7" s="71"/>
      <c r="M7" s="71"/>
    </row>
    <row r="8" spans="1:13" ht="30.75">
      <c r="A8" s="413" t="s">
        <v>2</v>
      </c>
      <c r="B8" s="415" t="s">
        <v>118</v>
      </c>
      <c r="C8" s="417" t="s">
        <v>119</v>
      </c>
      <c r="D8" s="417" t="s">
        <v>120</v>
      </c>
      <c r="E8" s="417" t="s">
        <v>121</v>
      </c>
      <c r="F8" s="417" t="s">
        <v>122</v>
      </c>
      <c r="G8" s="72" t="s">
        <v>123</v>
      </c>
      <c r="H8" s="417" t="s">
        <v>124</v>
      </c>
      <c r="I8" s="419" t="s">
        <v>125</v>
      </c>
      <c r="J8" s="73"/>
      <c r="K8" s="71"/>
      <c r="L8" s="71"/>
      <c r="M8" s="71"/>
    </row>
    <row r="9" spans="1:13" ht="23.25" customHeight="1">
      <c r="A9" s="414"/>
      <c r="B9" s="416"/>
      <c r="C9" s="418"/>
      <c r="D9" s="418"/>
      <c r="E9" s="418"/>
      <c r="F9" s="418"/>
      <c r="G9" s="74" t="s">
        <v>126</v>
      </c>
      <c r="H9" s="418"/>
      <c r="I9" s="420"/>
      <c r="J9" s="71"/>
      <c r="K9" s="71"/>
      <c r="L9" s="71"/>
      <c r="M9" s="71"/>
    </row>
    <row r="10" spans="1:13" ht="31.7" customHeight="1">
      <c r="A10" s="75" t="s">
        <v>127</v>
      </c>
      <c r="B10" s="76" t="s">
        <v>330</v>
      </c>
      <c r="C10" s="11">
        <f>+[1]bilanci!D5</f>
        <v>10500000</v>
      </c>
      <c r="D10" s="11"/>
      <c r="E10" s="11"/>
      <c r="F10" s="11">
        <f>+[1]bilanci!D6+[1]bilanci!D7</f>
        <v>2605124</v>
      </c>
      <c r="G10" s="11">
        <f>+[1]bilanci!D8</f>
        <v>33753359</v>
      </c>
      <c r="H10" s="11">
        <f>+[1]bilanci!D9</f>
        <v>68877469</v>
      </c>
      <c r="I10" s="12">
        <f>SUM(C10:H10)</f>
        <v>115735952</v>
      </c>
      <c r="J10" s="71"/>
      <c r="K10" s="71"/>
      <c r="L10" s="71"/>
      <c r="M10" s="71"/>
    </row>
    <row r="11" spans="1:13" ht="21.2" customHeight="1">
      <c r="A11" s="77" t="s">
        <v>129</v>
      </c>
      <c r="B11" s="78" t="s">
        <v>130</v>
      </c>
      <c r="C11" s="19"/>
      <c r="D11" s="19"/>
      <c r="E11" s="19"/>
      <c r="F11" s="19"/>
      <c r="G11" s="19">
        <f>-[1]bilanci!E8</f>
        <v>-4066404</v>
      </c>
      <c r="H11" s="19"/>
      <c r="I11" s="16">
        <f t="shared" ref="I11:I21" si="0">C11+D11+E11+F11+H11</f>
        <v>0</v>
      </c>
      <c r="J11" s="71"/>
      <c r="K11" s="71"/>
      <c r="L11" s="71"/>
      <c r="M11" s="71"/>
    </row>
    <row r="12" spans="1:13" ht="24.75" customHeight="1">
      <c r="A12" s="75" t="s">
        <v>131</v>
      </c>
      <c r="B12" s="76" t="s">
        <v>132</v>
      </c>
      <c r="C12" s="11"/>
      <c r="D12" s="11"/>
      <c r="E12" s="11"/>
      <c r="F12" s="11">
        <f>+[1]bilanci!F6</f>
        <v>3443873</v>
      </c>
      <c r="G12" s="11">
        <f>SUM(G10:G11)</f>
        <v>29686955</v>
      </c>
      <c r="H12" s="11">
        <f>+H10</f>
        <v>68877469</v>
      </c>
      <c r="I12" s="12">
        <f>+G12+H12+F12</f>
        <v>102008297</v>
      </c>
      <c r="J12" s="71"/>
      <c r="K12" s="71"/>
      <c r="L12" s="71"/>
      <c r="M12" s="71"/>
    </row>
    <row r="13" spans="1:13" ht="24.75" customHeight="1">
      <c r="A13" s="79">
        <v>1</v>
      </c>
      <c r="B13" s="80" t="s">
        <v>133</v>
      </c>
      <c r="C13" s="81"/>
      <c r="D13" s="82"/>
      <c r="E13" s="81"/>
      <c r="F13" s="81"/>
      <c r="G13" s="81"/>
      <c r="H13" s="81"/>
      <c r="I13" s="16">
        <f t="shared" si="0"/>
        <v>0</v>
      </c>
      <c r="J13" s="71"/>
      <c r="K13" s="71"/>
      <c r="L13" s="71"/>
      <c r="M13" s="71"/>
    </row>
    <row r="14" spans="1:13" ht="22.7" customHeight="1">
      <c r="A14" s="79">
        <v>2</v>
      </c>
      <c r="B14" s="80" t="s">
        <v>134</v>
      </c>
      <c r="C14" s="81"/>
      <c r="D14" s="81"/>
      <c r="E14" s="81"/>
      <c r="F14" s="81"/>
      <c r="G14" s="81"/>
      <c r="H14" s="81"/>
      <c r="I14" s="16">
        <f t="shared" si="0"/>
        <v>0</v>
      </c>
      <c r="J14" s="71"/>
      <c r="K14" s="71"/>
      <c r="L14" s="71"/>
      <c r="M14" s="71"/>
    </row>
    <row r="15" spans="1:13" ht="22.7" customHeight="1">
      <c r="A15" s="77">
        <v>3</v>
      </c>
      <c r="B15" s="83" t="s">
        <v>135</v>
      </c>
      <c r="C15" s="19">
        <v>69500000</v>
      </c>
      <c r="D15" s="19"/>
      <c r="E15" s="19"/>
      <c r="F15" s="19"/>
      <c r="G15" s="19"/>
      <c r="H15" s="19">
        <f>-H12</f>
        <v>-68877469</v>
      </c>
      <c r="I15" s="16">
        <f>C15+D15+E15+F15+H15</f>
        <v>622531</v>
      </c>
      <c r="J15" s="71"/>
      <c r="K15" s="71"/>
      <c r="L15" s="71"/>
      <c r="M15" s="71"/>
    </row>
    <row r="16" spans="1:13" ht="21.2" customHeight="1">
      <c r="A16" s="77">
        <v>4</v>
      </c>
      <c r="B16" s="84" t="s">
        <v>136</v>
      </c>
      <c r="C16" s="19"/>
      <c r="D16" s="19"/>
      <c r="E16" s="19"/>
      <c r="F16" s="19"/>
      <c r="G16" s="19"/>
      <c r="H16" s="19"/>
      <c r="I16" s="16">
        <f t="shared" si="0"/>
        <v>0</v>
      </c>
      <c r="J16" s="71"/>
      <c r="K16" s="71"/>
      <c r="L16" s="71"/>
      <c r="M16" s="71"/>
    </row>
    <row r="17" spans="1:13" ht="24" customHeight="1">
      <c r="A17" s="75" t="s">
        <v>33</v>
      </c>
      <c r="B17" s="85" t="s">
        <v>128</v>
      </c>
      <c r="C17" s="86">
        <f>SUM(C10:C16)</f>
        <v>80000000</v>
      </c>
      <c r="D17" s="86">
        <f>SUM(D10:D16)</f>
        <v>0</v>
      </c>
      <c r="E17" s="86">
        <f>SUM(E10:E16)</f>
        <v>0</v>
      </c>
      <c r="F17" s="86">
        <f>SUM(F10:F16)</f>
        <v>6048997</v>
      </c>
      <c r="G17" s="86">
        <f>+G12</f>
        <v>29686955</v>
      </c>
      <c r="H17" s="86"/>
      <c r="I17" s="12">
        <f>+C17+F17+G17</f>
        <v>115735952</v>
      </c>
      <c r="J17" s="71"/>
      <c r="K17" s="71"/>
      <c r="L17" s="71"/>
      <c r="M17" s="71"/>
    </row>
    <row r="18" spans="1:13" ht="26.45" customHeight="1">
      <c r="A18" s="87">
        <v>1</v>
      </c>
      <c r="B18" s="83" t="s">
        <v>133</v>
      </c>
      <c r="C18" s="19"/>
      <c r="D18" s="19"/>
      <c r="E18" s="19"/>
      <c r="F18" s="19"/>
      <c r="G18" s="19"/>
      <c r="H18" s="19">
        <f>+[1]bilanci!H9</f>
        <v>48324974.324866697</v>
      </c>
      <c r="I18" s="16">
        <f t="shared" si="0"/>
        <v>48324974.324866697</v>
      </c>
      <c r="J18" s="71"/>
      <c r="K18" s="71"/>
      <c r="L18" s="71"/>
      <c r="M18" s="71"/>
    </row>
    <row r="19" spans="1:13" ht="22.7" customHeight="1">
      <c r="A19" s="77">
        <v>2</v>
      </c>
      <c r="B19" s="88" t="s">
        <v>134</v>
      </c>
      <c r="C19" s="19"/>
      <c r="D19" s="19"/>
      <c r="E19" s="19"/>
      <c r="F19" s="19"/>
      <c r="G19" s="19"/>
      <c r="H19" s="19"/>
      <c r="I19" s="16">
        <f t="shared" si="0"/>
        <v>0</v>
      </c>
      <c r="J19" s="71"/>
      <c r="K19" s="71"/>
      <c r="L19" s="71"/>
      <c r="M19" s="71"/>
    </row>
    <row r="20" spans="1:13" ht="21.75" customHeight="1">
      <c r="A20" s="89">
        <v>3</v>
      </c>
      <c r="B20" s="90" t="s">
        <v>137</v>
      </c>
      <c r="C20" s="81"/>
      <c r="D20" s="81"/>
      <c r="E20" s="81"/>
      <c r="F20" s="81"/>
      <c r="G20" s="81"/>
      <c r="H20" s="81"/>
      <c r="I20" s="16">
        <f t="shared" si="0"/>
        <v>0</v>
      </c>
      <c r="J20" s="71"/>
      <c r="K20" s="71"/>
      <c r="L20" s="71"/>
      <c r="M20" s="71"/>
    </row>
    <row r="21" spans="1:13" ht="26.45" customHeight="1">
      <c r="A21" s="91">
        <v>4</v>
      </c>
      <c r="B21" s="92" t="s">
        <v>138</v>
      </c>
      <c r="C21" s="81"/>
      <c r="D21" s="81"/>
      <c r="E21" s="81"/>
      <c r="F21" s="81"/>
      <c r="G21" s="81"/>
      <c r="H21" s="81"/>
      <c r="I21" s="16">
        <f t="shared" si="0"/>
        <v>0</v>
      </c>
      <c r="J21" s="71"/>
      <c r="K21" s="71"/>
      <c r="L21" s="71"/>
      <c r="M21" s="71"/>
    </row>
    <row r="22" spans="1:13" ht="29.25" customHeight="1" thickBot="1">
      <c r="A22" s="93" t="s">
        <v>74</v>
      </c>
      <c r="B22" s="94" t="s">
        <v>139</v>
      </c>
      <c r="C22" s="95">
        <f>SUM(C17:C21)</f>
        <v>80000000</v>
      </c>
      <c r="D22" s="95">
        <f>SUM(D17:D21)</f>
        <v>0</v>
      </c>
      <c r="E22" s="95">
        <f>SUM(E17:E21)</f>
        <v>0</v>
      </c>
      <c r="F22" s="95">
        <f>SUM(F17:F21)</f>
        <v>6048997</v>
      </c>
      <c r="G22" s="95">
        <f>+G17</f>
        <v>29686955</v>
      </c>
      <c r="H22" s="95">
        <f>SUM(H17:H21)</f>
        <v>48324974.324866697</v>
      </c>
      <c r="I22" s="12">
        <f>+I17+I18</f>
        <v>164060926.32486671</v>
      </c>
      <c r="J22" s="71"/>
      <c r="K22" s="71"/>
      <c r="L22" s="71"/>
      <c r="M22" s="71"/>
    </row>
    <row r="23" spans="1:13" s="71" customFormat="1">
      <c r="A23" s="73"/>
      <c r="B23" s="96"/>
    </row>
    <row r="24" spans="1:13" s="71" customFormat="1">
      <c r="A24" s="73"/>
      <c r="B24" s="97"/>
    </row>
    <row r="25" spans="1:13" s="71" customFormat="1">
      <c r="A25" s="73"/>
      <c r="B25" s="97"/>
    </row>
    <row r="26" spans="1:13" s="71" customFormat="1">
      <c r="A26" s="73"/>
      <c r="B26" s="98"/>
    </row>
    <row r="27" spans="1:13" s="71" customFormat="1"/>
  </sheetData>
  <mergeCells count="9">
    <mergeCell ref="A4:J4"/>
    <mergeCell ref="A8:A9"/>
    <mergeCell ref="B8:B9"/>
    <mergeCell ref="C8:C9"/>
    <mergeCell ref="D8:D9"/>
    <mergeCell ref="E8:E9"/>
    <mergeCell ref="F8:F9"/>
    <mergeCell ref="H8:H9"/>
    <mergeCell ref="I8:I9"/>
  </mergeCells>
  <pageMargins left="0.35" right="0.25" top="0.49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41"/>
  <sheetViews>
    <sheetView topLeftCell="A24" workbookViewId="0">
      <selection activeCell="G33" sqref="G33"/>
    </sheetView>
  </sheetViews>
  <sheetFormatPr defaultColWidth="10.28515625" defaultRowHeight="12.75"/>
  <cols>
    <col min="1" max="1" width="5" style="100" customWidth="1"/>
    <col min="2" max="2" width="55.85546875" style="100" customWidth="1"/>
    <col min="3" max="4" width="19" style="145" customWidth="1"/>
    <col min="5" max="256" width="10.28515625" style="100"/>
    <col min="257" max="257" width="5" style="100" customWidth="1"/>
    <col min="258" max="258" width="55.85546875" style="100" customWidth="1"/>
    <col min="259" max="260" width="19" style="100" customWidth="1"/>
    <col min="261" max="512" width="10.28515625" style="100"/>
    <col min="513" max="513" width="5" style="100" customWidth="1"/>
    <col min="514" max="514" width="55.85546875" style="100" customWidth="1"/>
    <col min="515" max="516" width="19" style="100" customWidth="1"/>
    <col min="517" max="768" width="10.28515625" style="100"/>
    <col min="769" max="769" width="5" style="100" customWidth="1"/>
    <col min="770" max="770" width="55.85546875" style="100" customWidth="1"/>
    <col min="771" max="772" width="19" style="100" customWidth="1"/>
    <col min="773" max="1024" width="10.28515625" style="100"/>
    <col min="1025" max="1025" width="5" style="100" customWidth="1"/>
    <col min="1026" max="1026" width="55.85546875" style="100" customWidth="1"/>
    <col min="1027" max="1028" width="19" style="100" customWidth="1"/>
    <col min="1029" max="1280" width="10.28515625" style="100"/>
    <col min="1281" max="1281" width="5" style="100" customWidth="1"/>
    <col min="1282" max="1282" width="55.85546875" style="100" customWidth="1"/>
    <col min="1283" max="1284" width="19" style="100" customWidth="1"/>
    <col min="1285" max="1536" width="10.28515625" style="100"/>
    <col min="1537" max="1537" width="5" style="100" customWidth="1"/>
    <col min="1538" max="1538" width="55.85546875" style="100" customWidth="1"/>
    <col min="1539" max="1540" width="19" style="100" customWidth="1"/>
    <col min="1541" max="1792" width="10.28515625" style="100"/>
    <col min="1793" max="1793" width="5" style="100" customWidth="1"/>
    <col min="1794" max="1794" width="55.85546875" style="100" customWidth="1"/>
    <col min="1795" max="1796" width="19" style="100" customWidth="1"/>
    <col min="1797" max="2048" width="10.28515625" style="100"/>
    <col min="2049" max="2049" width="5" style="100" customWidth="1"/>
    <col min="2050" max="2050" width="55.85546875" style="100" customWidth="1"/>
    <col min="2051" max="2052" width="19" style="100" customWidth="1"/>
    <col min="2053" max="2304" width="10.28515625" style="100"/>
    <col min="2305" max="2305" width="5" style="100" customWidth="1"/>
    <col min="2306" max="2306" width="55.85546875" style="100" customWidth="1"/>
    <col min="2307" max="2308" width="19" style="100" customWidth="1"/>
    <col min="2309" max="2560" width="10.28515625" style="100"/>
    <col min="2561" max="2561" width="5" style="100" customWidth="1"/>
    <col min="2562" max="2562" width="55.85546875" style="100" customWidth="1"/>
    <col min="2563" max="2564" width="19" style="100" customWidth="1"/>
    <col min="2565" max="2816" width="10.28515625" style="100"/>
    <col min="2817" max="2817" width="5" style="100" customWidth="1"/>
    <col min="2818" max="2818" width="55.85546875" style="100" customWidth="1"/>
    <col min="2819" max="2820" width="19" style="100" customWidth="1"/>
    <col min="2821" max="3072" width="10.28515625" style="100"/>
    <col min="3073" max="3073" width="5" style="100" customWidth="1"/>
    <col min="3074" max="3074" width="55.85546875" style="100" customWidth="1"/>
    <col min="3075" max="3076" width="19" style="100" customWidth="1"/>
    <col min="3077" max="3328" width="10.28515625" style="100"/>
    <col min="3329" max="3329" width="5" style="100" customWidth="1"/>
    <col min="3330" max="3330" width="55.85546875" style="100" customWidth="1"/>
    <col min="3331" max="3332" width="19" style="100" customWidth="1"/>
    <col min="3333" max="3584" width="10.28515625" style="100"/>
    <col min="3585" max="3585" width="5" style="100" customWidth="1"/>
    <col min="3586" max="3586" width="55.85546875" style="100" customWidth="1"/>
    <col min="3587" max="3588" width="19" style="100" customWidth="1"/>
    <col min="3589" max="3840" width="10.28515625" style="100"/>
    <col min="3841" max="3841" width="5" style="100" customWidth="1"/>
    <col min="3842" max="3842" width="55.85546875" style="100" customWidth="1"/>
    <col min="3843" max="3844" width="19" style="100" customWidth="1"/>
    <col min="3845" max="4096" width="10.28515625" style="100"/>
    <col min="4097" max="4097" width="5" style="100" customWidth="1"/>
    <col min="4098" max="4098" width="55.85546875" style="100" customWidth="1"/>
    <col min="4099" max="4100" width="19" style="100" customWidth="1"/>
    <col min="4101" max="4352" width="10.28515625" style="100"/>
    <col min="4353" max="4353" width="5" style="100" customWidth="1"/>
    <col min="4354" max="4354" width="55.85546875" style="100" customWidth="1"/>
    <col min="4355" max="4356" width="19" style="100" customWidth="1"/>
    <col min="4357" max="4608" width="10.28515625" style="100"/>
    <col min="4609" max="4609" width="5" style="100" customWidth="1"/>
    <col min="4610" max="4610" width="55.85546875" style="100" customWidth="1"/>
    <col min="4611" max="4612" width="19" style="100" customWidth="1"/>
    <col min="4613" max="4864" width="10.28515625" style="100"/>
    <col min="4865" max="4865" width="5" style="100" customWidth="1"/>
    <col min="4866" max="4866" width="55.85546875" style="100" customWidth="1"/>
    <col min="4867" max="4868" width="19" style="100" customWidth="1"/>
    <col min="4869" max="5120" width="10.28515625" style="100"/>
    <col min="5121" max="5121" width="5" style="100" customWidth="1"/>
    <col min="5122" max="5122" width="55.85546875" style="100" customWidth="1"/>
    <col min="5123" max="5124" width="19" style="100" customWidth="1"/>
    <col min="5125" max="5376" width="10.28515625" style="100"/>
    <col min="5377" max="5377" width="5" style="100" customWidth="1"/>
    <col min="5378" max="5378" width="55.85546875" style="100" customWidth="1"/>
    <col min="5379" max="5380" width="19" style="100" customWidth="1"/>
    <col min="5381" max="5632" width="10.28515625" style="100"/>
    <col min="5633" max="5633" width="5" style="100" customWidth="1"/>
    <col min="5634" max="5634" width="55.85546875" style="100" customWidth="1"/>
    <col min="5635" max="5636" width="19" style="100" customWidth="1"/>
    <col min="5637" max="5888" width="10.28515625" style="100"/>
    <col min="5889" max="5889" width="5" style="100" customWidth="1"/>
    <col min="5890" max="5890" width="55.85546875" style="100" customWidth="1"/>
    <col min="5891" max="5892" width="19" style="100" customWidth="1"/>
    <col min="5893" max="6144" width="10.28515625" style="100"/>
    <col min="6145" max="6145" width="5" style="100" customWidth="1"/>
    <col min="6146" max="6146" width="55.85546875" style="100" customWidth="1"/>
    <col min="6147" max="6148" width="19" style="100" customWidth="1"/>
    <col min="6149" max="6400" width="10.28515625" style="100"/>
    <col min="6401" max="6401" width="5" style="100" customWidth="1"/>
    <col min="6402" max="6402" width="55.85546875" style="100" customWidth="1"/>
    <col min="6403" max="6404" width="19" style="100" customWidth="1"/>
    <col min="6405" max="6656" width="10.28515625" style="100"/>
    <col min="6657" max="6657" width="5" style="100" customWidth="1"/>
    <col min="6658" max="6658" width="55.85546875" style="100" customWidth="1"/>
    <col min="6659" max="6660" width="19" style="100" customWidth="1"/>
    <col min="6661" max="6912" width="10.28515625" style="100"/>
    <col min="6913" max="6913" width="5" style="100" customWidth="1"/>
    <col min="6914" max="6914" width="55.85546875" style="100" customWidth="1"/>
    <col min="6915" max="6916" width="19" style="100" customWidth="1"/>
    <col min="6917" max="7168" width="10.28515625" style="100"/>
    <col min="7169" max="7169" width="5" style="100" customWidth="1"/>
    <col min="7170" max="7170" width="55.85546875" style="100" customWidth="1"/>
    <col min="7171" max="7172" width="19" style="100" customWidth="1"/>
    <col min="7173" max="7424" width="10.28515625" style="100"/>
    <col min="7425" max="7425" width="5" style="100" customWidth="1"/>
    <col min="7426" max="7426" width="55.85546875" style="100" customWidth="1"/>
    <col min="7427" max="7428" width="19" style="100" customWidth="1"/>
    <col min="7429" max="7680" width="10.28515625" style="100"/>
    <col min="7681" max="7681" width="5" style="100" customWidth="1"/>
    <col min="7682" max="7682" width="55.85546875" style="100" customWidth="1"/>
    <col min="7683" max="7684" width="19" style="100" customWidth="1"/>
    <col min="7685" max="7936" width="10.28515625" style="100"/>
    <col min="7937" max="7937" width="5" style="100" customWidth="1"/>
    <col min="7938" max="7938" width="55.85546875" style="100" customWidth="1"/>
    <col min="7939" max="7940" width="19" style="100" customWidth="1"/>
    <col min="7941" max="8192" width="10.28515625" style="100"/>
    <col min="8193" max="8193" width="5" style="100" customWidth="1"/>
    <col min="8194" max="8194" width="55.85546875" style="100" customWidth="1"/>
    <col min="8195" max="8196" width="19" style="100" customWidth="1"/>
    <col min="8197" max="8448" width="10.28515625" style="100"/>
    <col min="8449" max="8449" width="5" style="100" customWidth="1"/>
    <col min="8450" max="8450" width="55.85546875" style="100" customWidth="1"/>
    <col min="8451" max="8452" width="19" style="100" customWidth="1"/>
    <col min="8453" max="8704" width="10.28515625" style="100"/>
    <col min="8705" max="8705" width="5" style="100" customWidth="1"/>
    <col min="8706" max="8706" width="55.85546875" style="100" customWidth="1"/>
    <col min="8707" max="8708" width="19" style="100" customWidth="1"/>
    <col min="8709" max="8960" width="10.28515625" style="100"/>
    <col min="8961" max="8961" width="5" style="100" customWidth="1"/>
    <col min="8962" max="8962" width="55.85546875" style="100" customWidth="1"/>
    <col min="8963" max="8964" width="19" style="100" customWidth="1"/>
    <col min="8965" max="9216" width="10.28515625" style="100"/>
    <col min="9217" max="9217" width="5" style="100" customWidth="1"/>
    <col min="9218" max="9218" width="55.85546875" style="100" customWidth="1"/>
    <col min="9219" max="9220" width="19" style="100" customWidth="1"/>
    <col min="9221" max="9472" width="10.28515625" style="100"/>
    <col min="9473" max="9473" width="5" style="100" customWidth="1"/>
    <col min="9474" max="9474" width="55.85546875" style="100" customWidth="1"/>
    <col min="9475" max="9476" width="19" style="100" customWidth="1"/>
    <col min="9477" max="9728" width="10.28515625" style="100"/>
    <col min="9729" max="9729" width="5" style="100" customWidth="1"/>
    <col min="9730" max="9730" width="55.85546875" style="100" customWidth="1"/>
    <col min="9731" max="9732" width="19" style="100" customWidth="1"/>
    <col min="9733" max="9984" width="10.28515625" style="100"/>
    <col min="9985" max="9985" width="5" style="100" customWidth="1"/>
    <col min="9986" max="9986" width="55.85546875" style="100" customWidth="1"/>
    <col min="9987" max="9988" width="19" style="100" customWidth="1"/>
    <col min="9989" max="10240" width="10.28515625" style="100"/>
    <col min="10241" max="10241" width="5" style="100" customWidth="1"/>
    <col min="10242" max="10242" width="55.85546875" style="100" customWidth="1"/>
    <col min="10243" max="10244" width="19" style="100" customWidth="1"/>
    <col min="10245" max="10496" width="10.28515625" style="100"/>
    <col min="10497" max="10497" width="5" style="100" customWidth="1"/>
    <col min="10498" max="10498" width="55.85546875" style="100" customWidth="1"/>
    <col min="10499" max="10500" width="19" style="100" customWidth="1"/>
    <col min="10501" max="10752" width="10.28515625" style="100"/>
    <col min="10753" max="10753" width="5" style="100" customWidth="1"/>
    <col min="10754" max="10754" width="55.85546875" style="100" customWidth="1"/>
    <col min="10755" max="10756" width="19" style="100" customWidth="1"/>
    <col min="10757" max="11008" width="10.28515625" style="100"/>
    <col min="11009" max="11009" width="5" style="100" customWidth="1"/>
    <col min="11010" max="11010" width="55.85546875" style="100" customWidth="1"/>
    <col min="11011" max="11012" width="19" style="100" customWidth="1"/>
    <col min="11013" max="11264" width="10.28515625" style="100"/>
    <col min="11265" max="11265" width="5" style="100" customWidth="1"/>
    <col min="11266" max="11266" width="55.85546875" style="100" customWidth="1"/>
    <col min="11267" max="11268" width="19" style="100" customWidth="1"/>
    <col min="11269" max="11520" width="10.28515625" style="100"/>
    <col min="11521" max="11521" width="5" style="100" customWidth="1"/>
    <col min="11522" max="11522" width="55.85546875" style="100" customWidth="1"/>
    <col min="11523" max="11524" width="19" style="100" customWidth="1"/>
    <col min="11525" max="11776" width="10.28515625" style="100"/>
    <col min="11777" max="11777" width="5" style="100" customWidth="1"/>
    <col min="11778" max="11778" width="55.85546875" style="100" customWidth="1"/>
    <col min="11779" max="11780" width="19" style="100" customWidth="1"/>
    <col min="11781" max="12032" width="10.28515625" style="100"/>
    <col min="12033" max="12033" width="5" style="100" customWidth="1"/>
    <col min="12034" max="12034" width="55.85546875" style="100" customWidth="1"/>
    <col min="12035" max="12036" width="19" style="100" customWidth="1"/>
    <col min="12037" max="12288" width="10.28515625" style="100"/>
    <col min="12289" max="12289" width="5" style="100" customWidth="1"/>
    <col min="12290" max="12290" width="55.85546875" style="100" customWidth="1"/>
    <col min="12291" max="12292" width="19" style="100" customWidth="1"/>
    <col min="12293" max="12544" width="10.28515625" style="100"/>
    <col min="12545" max="12545" width="5" style="100" customWidth="1"/>
    <col min="12546" max="12546" width="55.85546875" style="100" customWidth="1"/>
    <col min="12547" max="12548" width="19" style="100" customWidth="1"/>
    <col min="12549" max="12800" width="10.28515625" style="100"/>
    <col min="12801" max="12801" width="5" style="100" customWidth="1"/>
    <col min="12802" max="12802" width="55.85546875" style="100" customWidth="1"/>
    <col min="12803" max="12804" width="19" style="100" customWidth="1"/>
    <col min="12805" max="13056" width="10.28515625" style="100"/>
    <col min="13057" max="13057" width="5" style="100" customWidth="1"/>
    <col min="13058" max="13058" width="55.85546875" style="100" customWidth="1"/>
    <col min="13059" max="13060" width="19" style="100" customWidth="1"/>
    <col min="13061" max="13312" width="10.28515625" style="100"/>
    <col min="13313" max="13313" width="5" style="100" customWidth="1"/>
    <col min="13314" max="13314" width="55.85546875" style="100" customWidth="1"/>
    <col min="13315" max="13316" width="19" style="100" customWidth="1"/>
    <col min="13317" max="13568" width="10.28515625" style="100"/>
    <col min="13569" max="13569" width="5" style="100" customWidth="1"/>
    <col min="13570" max="13570" width="55.85546875" style="100" customWidth="1"/>
    <col min="13571" max="13572" width="19" style="100" customWidth="1"/>
    <col min="13573" max="13824" width="10.28515625" style="100"/>
    <col min="13825" max="13825" width="5" style="100" customWidth="1"/>
    <col min="13826" max="13826" width="55.85546875" style="100" customWidth="1"/>
    <col min="13827" max="13828" width="19" style="100" customWidth="1"/>
    <col min="13829" max="14080" width="10.28515625" style="100"/>
    <col min="14081" max="14081" width="5" style="100" customWidth="1"/>
    <col min="14082" max="14082" width="55.85546875" style="100" customWidth="1"/>
    <col min="14083" max="14084" width="19" style="100" customWidth="1"/>
    <col min="14085" max="14336" width="10.28515625" style="100"/>
    <col min="14337" max="14337" width="5" style="100" customWidth="1"/>
    <col min="14338" max="14338" width="55.85546875" style="100" customWidth="1"/>
    <col min="14339" max="14340" width="19" style="100" customWidth="1"/>
    <col min="14341" max="14592" width="10.28515625" style="100"/>
    <col min="14593" max="14593" width="5" style="100" customWidth="1"/>
    <col min="14594" max="14594" width="55.85546875" style="100" customWidth="1"/>
    <col min="14595" max="14596" width="19" style="100" customWidth="1"/>
    <col min="14597" max="14848" width="10.28515625" style="100"/>
    <col min="14849" max="14849" width="5" style="100" customWidth="1"/>
    <col min="14850" max="14850" width="55.85546875" style="100" customWidth="1"/>
    <col min="14851" max="14852" width="19" style="100" customWidth="1"/>
    <col min="14853" max="15104" width="10.28515625" style="100"/>
    <col min="15105" max="15105" width="5" style="100" customWidth="1"/>
    <col min="15106" max="15106" width="55.85546875" style="100" customWidth="1"/>
    <col min="15107" max="15108" width="19" style="100" customWidth="1"/>
    <col min="15109" max="15360" width="10.28515625" style="100"/>
    <col min="15361" max="15361" width="5" style="100" customWidth="1"/>
    <col min="15362" max="15362" width="55.85546875" style="100" customWidth="1"/>
    <col min="15363" max="15364" width="19" style="100" customWidth="1"/>
    <col min="15365" max="15616" width="10.28515625" style="100"/>
    <col min="15617" max="15617" width="5" style="100" customWidth="1"/>
    <col min="15618" max="15618" width="55.85546875" style="100" customWidth="1"/>
    <col min="15619" max="15620" width="19" style="100" customWidth="1"/>
    <col min="15621" max="15872" width="10.28515625" style="100"/>
    <col min="15873" max="15873" width="5" style="100" customWidth="1"/>
    <col min="15874" max="15874" width="55.85546875" style="100" customWidth="1"/>
    <col min="15875" max="15876" width="19" style="100" customWidth="1"/>
    <col min="15877" max="16128" width="10.28515625" style="100"/>
    <col min="16129" max="16129" width="5" style="100" customWidth="1"/>
    <col min="16130" max="16130" width="55.85546875" style="100" customWidth="1"/>
    <col min="16131" max="16132" width="19" style="100" customWidth="1"/>
    <col min="16133" max="16384" width="10.28515625" style="100"/>
  </cols>
  <sheetData>
    <row r="2" spans="1:4" s="142" customFormat="1" ht="18.75">
      <c r="B2" s="143" t="s">
        <v>1</v>
      </c>
      <c r="C2" s="144"/>
      <c r="D2" s="144"/>
    </row>
    <row r="3" spans="1:4" s="142" customFormat="1" ht="13.5">
      <c r="C3" s="144"/>
      <c r="D3" s="144"/>
    </row>
    <row r="4" spans="1:4" s="142" customFormat="1" ht="18.75">
      <c r="A4" s="421" t="s">
        <v>174</v>
      </c>
      <c r="B4" s="421"/>
      <c r="C4" s="421"/>
      <c r="D4" s="421"/>
    </row>
    <row r="5" spans="1:4" ht="18.75">
      <c r="A5" s="167"/>
      <c r="B5" s="167"/>
      <c r="C5" s="168"/>
      <c r="D5" s="168"/>
    </row>
    <row r="7" spans="1:4" ht="13.5" thickBot="1"/>
    <row r="8" spans="1:4" ht="16.5">
      <c r="A8" s="408" t="s">
        <v>2</v>
      </c>
      <c r="B8" s="422" t="s">
        <v>149</v>
      </c>
      <c r="C8" s="169" t="s">
        <v>5</v>
      </c>
      <c r="D8" s="170" t="s">
        <v>5</v>
      </c>
    </row>
    <row r="9" spans="1:4" ht="16.5">
      <c r="A9" s="409"/>
      <c r="B9" s="423"/>
      <c r="C9" s="171" t="s">
        <v>6</v>
      </c>
      <c r="D9" s="172" t="s">
        <v>7</v>
      </c>
    </row>
    <row r="10" spans="1:4" ht="27" customHeight="1">
      <c r="A10" s="150"/>
      <c r="B10" s="151" t="s">
        <v>150</v>
      </c>
      <c r="C10" s="35">
        <f>C11+C12+C13+C14+C15+C16+C17</f>
        <v>58615177.028420061</v>
      </c>
      <c r="D10" s="35">
        <f>D11+D12+D13+D14+D15+D16+D17</f>
        <v>-11648136</v>
      </c>
    </row>
    <row r="11" spans="1:4" ht="21.2" customHeight="1">
      <c r="A11" s="150">
        <v>1</v>
      </c>
      <c r="B11" s="135" t="s">
        <v>151</v>
      </c>
      <c r="C11" s="19">
        <f>+[1]bilanci!F29</f>
        <v>794261097.25452006</v>
      </c>
      <c r="D11" s="16">
        <v>172647006</v>
      </c>
    </row>
    <row r="12" spans="1:4" ht="21.2" customHeight="1">
      <c r="A12" s="32">
        <v>2</v>
      </c>
      <c r="B12" s="136" t="s">
        <v>152</v>
      </c>
      <c r="C12" s="19">
        <v>-703955295</v>
      </c>
      <c r="D12" s="16">
        <v>-151672646</v>
      </c>
    </row>
    <row r="13" spans="1:4" ht="21.2" customHeight="1">
      <c r="A13" s="32">
        <v>3</v>
      </c>
      <c r="B13" s="135" t="s">
        <v>153</v>
      </c>
      <c r="C13" s="19"/>
      <c r="D13" s="16"/>
    </row>
    <row r="14" spans="1:4" ht="18.75" customHeight="1">
      <c r="A14" s="150">
        <v>4</v>
      </c>
      <c r="B14" s="135" t="s">
        <v>154</v>
      </c>
      <c r="C14" s="19"/>
      <c r="D14" s="16"/>
    </row>
    <row r="15" spans="1:4" ht="22.7" customHeight="1">
      <c r="A15" s="150">
        <v>5</v>
      </c>
      <c r="B15" s="135" t="s">
        <v>155</v>
      </c>
      <c r="C15" s="19">
        <f>-[1]bilanci!E71</f>
        <v>-13058231.226099998</v>
      </c>
      <c r="D15" s="16">
        <v>-31525029</v>
      </c>
    </row>
    <row r="16" spans="1:4" ht="24.75" customHeight="1">
      <c r="A16" s="150">
        <v>6</v>
      </c>
      <c r="B16" s="135" t="s">
        <v>156</v>
      </c>
      <c r="C16" s="19">
        <f>-[1]bilanci!E32+[1]bilanci!E33</f>
        <v>-18632394</v>
      </c>
      <c r="D16" s="16">
        <v>-1097467</v>
      </c>
    </row>
    <row r="17" spans="1:4" ht="21.75" customHeight="1">
      <c r="A17" s="150">
        <v>7</v>
      </c>
      <c r="B17" s="152" t="s">
        <v>157</v>
      </c>
      <c r="C17" s="19"/>
      <c r="D17" s="16"/>
    </row>
    <row r="18" spans="1:4" ht="20.25" customHeight="1">
      <c r="A18" s="150">
        <v>8</v>
      </c>
      <c r="B18" s="153" t="s">
        <v>158</v>
      </c>
      <c r="C18" s="11">
        <f>+C19+C20+C21+C22+C23+C24</f>
        <v>-39813437.524999999</v>
      </c>
      <c r="D18" s="11">
        <f>+D19+D20+D21+D22+D23+D24</f>
        <v>-16796616</v>
      </c>
    </row>
    <row r="19" spans="1:4" ht="21.2" customHeight="1">
      <c r="A19" s="150">
        <v>9</v>
      </c>
      <c r="B19" s="135" t="s">
        <v>159</v>
      </c>
      <c r="C19" s="19"/>
      <c r="D19" s="16"/>
    </row>
    <row r="20" spans="1:4" ht="22.7" customHeight="1">
      <c r="A20" s="150">
        <v>10</v>
      </c>
      <c r="B20" s="152" t="s">
        <v>160</v>
      </c>
      <c r="C20" s="19">
        <f>-[1]bilanci!E19-[1]bilanci!E20</f>
        <v>-39813437.524999999</v>
      </c>
      <c r="D20" s="16">
        <v>-16821971</v>
      </c>
    </row>
    <row r="21" spans="1:4" ht="18.75" customHeight="1">
      <c r="A21" s="150">
        <v>11</v>
      </c>
      <c r="B21" s="135" t="s">
        <v>161</v>
      </c>
      <c r="C21" s="19">
        <f>+[1]amort.!C189</f>
        <v>0</v>
      </c>
      <c r="D21" s="16"/>
    </row>
    <row r="22" spans="1:4" ht="22.7" customHeight="1">
      <c r="A22" s="150">
        <v>12</v>
      </c>
      <c r="B22" s="135" t="s">
        <v>162</v>
      </c>
      <c r="C22" s="19">
        <f>+[1]bilanci!F50</f>
        <v>0</v>
      </c>
      <c r="D22" s="16">
        <v>25355</v>
      </c>
    </row>
    <row r="23" spans="1:4" ht="21.75" customHeight="1">
      <c r="A23" s="150">
        <v>13</v>
      </c>
      <c r="B23" s="135" t="s">
        <v>163</v>
      </c>
      <c r="C23" s="19"/>
      <c r="D23" s="16"/>
    </row>
    <row r="24" spans="1:4" ht="23.25" customHeight="1">
      <c r="A24" s="150">
        <v>14</v>
      </c>
      <c r="B24" s="137" t="s">
        <v>164</v>
      </c>
      <c r="C24" s="19"/>
      <c r="D24" s="16"/>
    </row>
    <row r="25" spans="1:4" ht="21.2" customHeight="1">
      <c r="A25" s="150">
        <v>15</v>
      </c>
      <c r="B25" s="153" t="s">
        <v>165</v>
      </c>
      <c r="C25" s="11">
        <f>+C26+C27+C28+C29+C30</f>
        <v>-19113341.989999995</v>
      </c>
      <c r="D25" s="12">
        <f>+D26+D27+D28+D29+D30</f>
        <v>56299156</v>
      </c>
    </row>
    <row r="26" spans="1:4" ht="21.75" customHeight="1">
      <c r="A26" s="150">
        <v>16</v>
      </c>
      <c r="B26" s="152" t="s">
        <v>166</v>
      </c>
      <c r="C26" s="19"/>
      <c r="D26" s="16"/>
    </row>
    <row r="27" spans="1:4" ht="22.7" customHeight="1">
      <c r="A27" s="150">
        <v>17</v>
      </c>
      <c r="B27" s="135" t="s">
        <v>167</v>
      </c>
      <c r="C27" s="19"/>
      <c r="D27" s="16">
        <v>135506379</v>
      </c>
    </row>
    <row r="28" spans="1:4" ht="24" customHeight="1">
      <c r="A28" s="150">
        <v>18</v>
      </c>
      <c r="B28" s="135" t="s">
        <v>168</v>
      </c>
      <c r="C28" s="19">
        <f>-[1]bilanci!E11-[1]bilanci!E37-[1]bilanci!E39-[1]bilanci!E12</f>
        <v>-19113341.989999995</v>
      </c>
      <c r="D28" s="16">
        <v>-79207223</v>
      </c>
    </row>
    <row r="29" spans="1:4" ht="22.7" customHeight="1">
      <c r="A29" s="150">
        <v>19</v>
      </c>
      <c r="B29" s="135" t="s">
        <v>169</v>
      </c>
      <c r="C29" s="19"/>
      <c r="D29" s="16"/>
    </row>
    <row r="30" spans="1:4" ht="24.75" customHeight="1">
      <c r="A30" s="150">
        <v>20</v>
      </c>
      <c r="B30" s="137" t="s">
        <v>170</v>
      </c>
      <c r="C30" s="19"/>
      <c r="D30" s="16"/>
    </row>
    <row r="31" spans="1:4" ht="24.75" customHeight="1">
      <c r="A31" s="150">
        <v>21</v>
      </c>
      <c r="B31" s="154" t="s">
        <v>171</v>
      </c>
      <c r="C31" s="86">
        <f>+C33-C32</f>
        <v>-311602.76818013191</v>
      </c>
      <c r="D31" s="86">
        <f>+D33-D32</f>
        <v>27854404</v>
      </c>
    </row>
    <row r="32" spans="1:4" ht="24.75" customHeight="1">
      <c r="A32" s="150">
        <v>22</v>
      </c>
      <c r="B32" s="154" t="s">
        <v>172</v>
      </c>
      <c r="C32" s="81">
        <f>+D33</f>
        <v>2852406</v>
      </c>
      <c r="D32" s="157">
        <v>-25001998</v>
      </c>
    </row>
    <row r="33" spans="1:4" ht="24.75" customHeight="1">
      <c r="A33" s="150">
        <v>23</v>
      </c>
      <c r="B33" s="154" t="s">
        <v>173</v>
      </c>
      <c r="C33" s="86">
        <f>+[1]bilanci!G41+[1]bilanci!G38+[1]bilanci!G39</f>
        <v>2540803.2318198681</v>
      </c>
      <c r="D33" s="155">
        <v>2852406</v>
      </c>
    </row>
    <row r="34" spans="1:4" ht="24.75" customHeight="1" thickBot="1">
      <c r="A34" s="158"/>
      <c r="B34" s="159"/>
      <c r="C34" s="160"/>
      <c r="D34" s="162"/>
    </row>
    <row r="35" spans="1:4" ht="16.5">
      <c r="A35" s="2"/>
      <c r="B35" s="163"/>
      <c r="C35" s="82"/>
      <c r="D35" s="82"/>
    </row>
    <row r="36" spans="1:4" ht="16.5">
      <c r="A36" s="164"/>
      <c r="B36" s="163"/>
      <c r="C36" s="165"/>
      <c r="D36" s="82"/>
    </row>
    <row r="37" spans="1:4" ht="16.5">
      <c r="A37" s="127"/>
      <c r="B37" s="163"/>
      <c r="C37" s="163"/>
      <c r="D37" s="82"/>
    </row>
    <row r="38" spans="1:4" ht="16.5">
      <c r="A38" s="127"/>
      <c r="B38" s="166"/>
      <c r="C38" s="82"/>
      <c r="D38" s="82"/>
    </row>
    <row r="39" spans="1:4" ht="16.5">
      <c r="A39" s="127"/>
      <c r="B39" s="166"/>
      <c r="C39" s="82"/>
      <c r="D39" s="82"/>
    </row>
    <row r="40" spans="1:4" ht="16.5">
      <c r="A40" s="2"/>
      <c r="B40" s="166"/>
      <c r="C40" s="82"/>
      <c r="D40" s="82"/>
    </row>
    <row r="41" spans="1:4" ht="16.5">
      <c r="A41" s="127"/>
      <c r="B41" s="166"/>
      <c r="C41" s="82"/>
      <c r="D41" s="82"/>
    </row>
  </sheetData>
  <mergeCells count="3">
    <mergeCell ref="A4:D4"/>
    <mergeCell ref="A8:A9"/>
    <mergeCell ref="B8:B9"/>
  </mergeCells>
  <pageMargins left="0.31" right="0.32" top="0.75" bottom="0.75" header="0.31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0"/>
  <sheetViews>
    <sheetView topLeftCell="A37" workbookViewId="0">
      <selection activeCell="G47" sqref="G47"/>
    </sheetView>
  </sheetViews>
  <sheetFormatPr defaultRowHeight="13.5"/>
  <cols>
    <col min="1" max="1" width="5.85546875" style="263" customWidth="1"/>
    <col min="2" max="2" width="19.85546875" style="263" customWidth="1"/>
    <col min="3" max="3" width="11.140625" style="263" customWidth="1"/>
    <col min="4" max="4" width="12" style="263" customWidth="1"/>
    <col min="5" max="5" width="11" style="263" customWidth="1"/>
    <col min="6" max="6" width="10.85546875" style="263" customWidth="1"/>
    <col min="7" max="7" width="12.5703125" style="263" customWidth="1"/>
    <col min="8" max="8" width="9.140625" style="263"/>
    <col min="9" max="9" width="13.7109375" style="263" bestFit="1" customWidth="1"/>
    <col min="10" max="10" width="9.7109375" style="263" customWidth="1"/>
    <col min="11" max="256" width="9.140625" style="263"/>
    <col min="257" max="257" width="5.85546875" style="263" customWidth="1"/>
    <col min="258" max="258" width="19.85546875" style="263" customWidth="1"/>
    <col min="259" max="259" width="11.140625" style="263" customWidth="1"/>
    <col min="260" max="260" width="12" style="263" customWidth="1"/>
    <col min="261" max="261" width="11" style="263" customWidth="1"/>
    <col min="262" max="262" width="10.85546875" style="263" customWidth="1"/>
    <col min="263" max="263" width="12.5703125" style="263" customWidth="1"/>
    <col min="264" max="264" width="9.140625" style="263"/>
    <col min="265" max="265" width="13.7109375" style="263" bestFit="1" customWidth="1"/>
    <col min="266" max="266" width="9.7109375" style="263" customWidth="1"/>
    <col min="267" max="512" width="9.140625" style="263"/>
    <col min="513" max="513" width="5.85546875" style="263" customWidth="1"/>
    <col min="514" max="514" width="19.85546875" style="263" customWidth="1"/>
    <col min="515" max="515" width="11.140625" style="263" customWidth="1"/>
    <col min="516" max="516" width="12" style="263" customWidth="1"/>
    <col min="517" max="517" width="11" style="263" customWidth="1"/>
    <col min="518" max="518" width="10.85546875" style="263" customWidth="1"/>
    <col min="519" max="519" width="12.5703125" style="263" customWidth="1"/>
    <col min="520" max="520" width="9.140625" style="263"/>
    <col min="521" max="521" width="13.7109375" style="263" bestFit="1" customWidth="1"/>
    <col min="522" max="522" width="9.7109375" style="263" customWidth="1"/>
    <col min="523" max="768" width="9.140625" style="263"/>
    <col min="769" max="769" width="5.85546875" style="263" customWidth="1"/>
    <col min="770" max="770" width="19.85546875" style="263" customWidth="1"/>
    <col min="771" max="771" width="11.140625" style="263" customWidth="1"/>
    <col min="772" max="772" width="12" style="263" customWidth="1"/>
    <col min="773" max="773" width="11" style="263" customWidth="1"/>
    <col min="774" max="774" width="10.85546875" style="263" customWidth="1"/>
    <col min="775" max="775" width="12.5703125" style="263" customWidth="1"/>
    <col min="776" max="776" width="9.140625" style="263"/>
    <col min="777" max="777" width="13.7109375" style="263" bestFit="1" customWidth="1"/>
    <col min="778" max="778" width="9.7109375" style="263" customWidth="1"/>
    <col min="779" max="1024" width="9.140625" style="263"/>
    <col min="1025" max="1025" width="5.85546875" style="263" customWidth="1"/>
    <col min="1026" max="1026" width="19.85546875" style="263" customWidth="1"/>
    <col min="1027" max="1027" width="11.140625" style="263" customWidth="1"/>
    <col min="1028" max="1028" width="12" style="263" customWidth="1"/>
    <col min="1029" max="1029" width="11" style="263" customWidth="1"/>
    <col min="1030" max="1030" width="10.85546875" style="263" customWidth="1"/>
    <col min="1031" max="1031" width="12.5703125" style="263" customWidth="1"/>
    <col min="1032" max="1032" width="9.140625" style="263"/>
    <col min="1033" max="1033" width="13.7109375" style="263" bestFit="1" customWidth="1"/>
    <col min="1034" max="1034" width="9.7109375" style="263" customWidth="1"/>
    <col min="1035" max="1280" width="9.140625" style="263"/>
    <col min="1281" max="1281" width="5.85546875" style="263" customWidth="1"/>
    <col min="1282" max="1282" width="19.85546875" style="263" customWidth="1"/>
    <col min="1283" max="1283" width="11.140625" style="263" customWidth="1"/>
    <col min="1284" max="1284" width="12" style="263" customWidth="1"/>
    <col min="1285" max="1285" width="11" style="263" customWidth="1"/>
    <col min="1286" max="1286" width="10.85546875" style="263" customWidth="1"/>
    <col min="1287" max="1287" width="12.5703125" style="263" customWidth="1"/>
    <col min="1288" max="1288" width="9.140625" style="263"/>
    <col min="1289" max="1289" width="13.7109375" style="263" bestFit="1" customWidth="1"/>
    <col min="1290" max="1290" width="9.7109375" style="263" customWidth="1"/>
    <col min="1291" max="1536" width="9.140625" style="263"/>
    <col min="1537" max="1537" width="5.85546875" style="263" customWidth="1"/>
    <col min="1538" max="1538" width="19.85546875" style="263" customWidth="1"/>
    <col min="1539" max="1539" width="11.140625" style="263" customWidth="1"/>
    <col min="1540" max="1540" width="12" style="263" customWidth="1"/>
    <col min="1541" max="1541" width="11" style="263" customWidth="1"/>
    <col min="1542" max="1542" width="10.85546875" style="263" customWidth="1"/>
    <col min="1543" max="1543" width="12.5703125" style="263" customWidth="1"/>
    <col min="1544" max="1544" width="9.140625" style="263"/>
    <col min="1545" max="1545" width="13.7109375" style="263" bestFit="1" customWidth="1"/>
    <col min="1546" max="1546" width="9.7109375" style="263" customWidth="1"/>
    <col min="1547" max="1792" width="9.140625" style="263"/>
    <col min="1793" max="1793" width="5.85546875" style="263" customWidth="1"/>
    <col min="1794" max="1794" width="19.85546875" style="263" customWidth="1"/>
    <col min="1795" max="1795" width="11.140625" style="263" customWidth="1"/>
    <col min="1796" max="1796" width="12" style="263" customWidth="1"/>
    <col min="1797" max="1797" width="11" style="263" customWidth="1"/>
    <col min="1798" max="1798" width="10.85546875" style="263" customWidth="1"/>
    <col min="1799" max="1799" width="12.5703125" style="263" customWidth="1"/>
    <col min="1800" max="1800" width="9.140625" style="263"/>
    <col min="1801" max="1801" width="13.7109375" style="263" bestFit="1" customWidth="1"/>
    <col min="1802" max="1802" width="9.7109375" style="263" customWidth="1"/>
    <col min="1803" max="2048" width="9.140625" style="263"/>
    <col min="2049" max="2049" width="5.85546875" style="263" customWidth="1"/>
    <col min="2050" max="2050" width="19.85546875" style="263" customWidth="1"/>
    <col min="2051" max="2051" width="11.140625" style="263" customWidth="1"/>
    <col min="2052" max="2052" width="12" style="263" customWidth="1"/>
    <col min="2053" max="2053" width="11" style="263" customWidth="1"/>
    <col min="2054" max="2054" width="10.85546875" style="263" customWidth="1"/>
    <col min="2055" max="2055" width="12.5703125" style="263" customWidth="1"/>
    <col min="2056" max="2056" width="9.140625" style="263"/>
    <col min="2057" max="2057" width="13.7109375" style="263" bestFit="1" customWidth="1"/>
    <col min="2058" max="2058" width="9.7109375" style="263" customWidth="1"/>
    <col min="2059" max="2304" width="9.140625" style="263"/>
    <col min="2305" max="2305" width="5.85546875" style="263" customWidth="1"/>
    <col min="2306" max="2306" width="19.85546875" style="263" customWidth="1"/>
    <col min="2307" max="2307" width="11.140625" style="263" customWidth="1"/>
    <col min="2308" max="2308" width="12" style="263" customWidth="1"/>
    <col min="2309" max="2309" width="11" style="263" customWidth="1"/>
    <col min="2310" max="2310" width="10.85546875" style="263" customWidth="1"/>
    <col min="2311" max="2311" width="12.5703125" style="263" customWidth="1"/>
    <col min="2312" max="2312" width="9.140625" style="263"/>
    <col min="2313" max="2313" width="13.7109375" style="263" bestFit="1" customWidth="1"/>
    <col min="2314" max="2314" width="9.7109375" style="263" customWidth="1"/>
    <col min="2315" max="2560" width="9.140625" style="263"/>
    <col min="2561" max="2561" width="5.85546875" style="263" customWidth="1"/>
    <col min="2562" max="2562" width="19.85546875" style="263" customWidth="1"/>
    <col min="2563" max="2563" width="11.140625" style="263" customWidth="1"/>
    <col min="2564" max="2564" width="12" style="263" customWidth="1"/>
    <col min="2565" max="2565" width="11" style="263" customWidth="1"/>
    <col min="2566" max="2566" width="10.85546875" style="263" customWidth="1"/>
    <col min="2567" max="2567" width="12.5703125" style="263" customWidth="1"/>
    <col min="2568" max="2568" width="9.140625" style="263"/>
    <col min="2569" max="2569" width="13.7109375" style="263" bestFit="1" customWidth="1"/>
    <col min="2570" max="2570" width="9.7109375" style="263" customWidth="1"/>
    <col min="2571" max="2816" width="9.140625" style="263"/>
    <col min="2817" max="2817" width="5.85546875" style="263" customWidth="1"/>
    <col min="2818" max="2818" width="19.85546875" style="263" customWidth="1"/>
    <col min="2819" max="2819" width="11.140625" style="263" customWidth="1"/>
    <col min="2820" max="2820" width="12" style="263" customWidth="1"/>
    <col min="2821" max="2821" width="11" style="263" customWidth="1"/>
    <col min="2822" max="2822" width="10.85546875" style="263" customWidth="1"/>
    <col min="2823" max="2823" width="12.5703125" style="263" customWidth="1"/>
    <col min="2824" max="2824" width="9.140625" style="263"/>
    <col min="2825" max="2825" width="13.7109375" style="263" bestFit="1" customWidth="1"/>
    <col min="2826" max="2826" width="9.7109375" style="263" customWidth="1"/>
    <col min="2827" max="3072" width="9.140625" style="263"/>
    <col min="3073" max="3073" width="5.85546875" style="263" customWidth="1"/>
    <col min="3074" max="3074" width="19.85546875" style="263" customWidth="1"/>
    <col min="3075" max="3075" width="11.140625" style="263" customWidth="1"/>
    <col min="3076" max="3076" width="12" style="263" customWidth="1"/>
    <col min="3077" max="3077" width="11" style="263" customWidth="1"/>
    <col min="3078" max="3078" width="10.85546875" style="263" customWidth="1"/>
    <col min="3079" max="3079" width="12.5703125" style="263" customWidth="1"/>
    <col min="3080" max="3080" width="9.140625" style="263"/>
    <col min="3081" max="3081" width="13.7109375" style="263" bestFit="1" customWidth="1"/>
    <col min="3082" max="3082" width="9.7109375" style="263" customWidth="1"/>
    <col min="3083" max="3328" width="9.140625" style="263"/>
    <col min="3329" max="3329" width="5.85546875" style="263" customWidth="1"/>
    <col min="3330" max="3330" width="19.85546875" style="263" customWidth="1"/>
    <col min="3331" max="3331" width="11.140625" style="263" customWidth="1"/>
    <col min="3332" max="3332" width="12" style="263" customWidth="1"/>
    <col min="3333" max="3333" width="11" style="263" customWidth="1"/>
    <col min="3334" max="3334" width="10.85546875" style="263" customWidth="1"/>
    <col min="3335" max="3335" width="12.5703125" style="263" customWidth="1"/>
    <col min="3336" max="3336" width="9.140625" style="263"/>
    <col min="3337" max="3337" width="13.7109375" style="263" bestFit="1" customWidth="1"/>
    <col min="3338" max="3338" width="9.7109375" style="263" customWidth="1"/>
    <col min="3339" max="3584" width="9.140625" style="263"/>
    <col min="3585" max="3585" width="5.85546875" style="263" customWidth="1"/>
    <col min="3586" max="3586" width="19.85546875" style="263" customWidth="1"/>
    <col min="3587" max="3587" width="11.140625" style="263" customWidth="1"/>
    <col min="3588" max="3588" width="12" style="263" customWidth="1"/>
    <col min="3589" max="3589" width="11" style="263" customWidth="1"/>
    <col min="3590" max="3590" width="10.85546875" style="263" customWidth="1"/>
    <col min="3591" max="3591" width="12.5703125" style="263" customWidth="1"/>
    <col min="3592" max="3592" width="9.140625" style="263"/>
    <col min="3593" max="3593" width="13.7109375" style="263" bestFit="1" customWidth="1"/>
    <col min="3594" max="3594" width="9.7109375" style="263" customWidth="1"/>
    <col min="3595" max="3840" width="9.140625" style="263"/>
    <col min="3841" max="3841" width="5.85546875" style="263" customWidth="1"/>
    <col min="3842" max="3842" width="19.85546875" style="263" customWidth="1"/>
    <col min="3843" max="3843" width="11.140625" style="263" customWidth="1"/>
    <col min="3844" max="3844" width="12" style="263" customWidth="1"/>
    <col min="3845" max="3845" width="11" style="263" customWidth="1"/>
    <col min="3846" max="3846" width="10.85546875" style="263" customWidth="1"/>
    <col min="3847" max="3847" width="12.5703125" style="263" customWidth="1"/>
    <col min="3848" max="3848" width="9.140625" style="263"/>
    <col min="3849" max="3849" width="13.7109375" style="263" bestFit="1" customWidth="1"/>
    <col min="3850" max="3850" width="9.7109375" style="263" customWidth="1"/>
    <col min="3851" max="4096" width="9.140625" style="263"/>
    <col min="4097" max="4097" width="5.85546875" style="263" customWidth="1"/>
    <col min="4098" max="4098" width="19.85546875" style="263" customWidth="1"/>
    <col min="4099" max="4099" width="11.140625" style="263" customWidth="1"/>
    <col min="4100" max="4100" width="12" style="263" customWidth="1"/>
    <col min="4101" max="4101" width="11" style="263" customWidth="1"/>
    <col min="4102" max="4102" width="10.85546875" style="263" customWidth="1"/>
    <col min="4103" max="4103" width="12.5703125" style="263" customWidth="1"/>
    <col min="4104" max="4104" width="9.140625" style="263"/>
    <col min="4105" max="4105" width="13.7109375" style="263" bestFit="1" customWidth="1"/>
    <col min="4106" max="4106" width="9.7109375" style="263" customWidth="1"/>
    <col min="4107" max="4352" width="9.140625" style="263"/>
    <col min="4353" max="4353" width="5.85546875" style="263" customWidth="1"/>
    <col min="4354" max="4354" width="19.85546875" style="263" customWidth="1"/>
    <col min="4355" max="4355" width="11.140625" style="263" customWidth="1"/>
    <col min="4356" max="4356" width="12" style="263" customWidth="1"/>
    <col min="4357" max="4357" width="11" style="263" customWidth="1"/>
    <col min="4358" max="4358" width="10.85546875" style="263" customWidth="1"/>
    <col min="4359" max="4359" width="12.5703125" style="263" customWidth="1"/>
    <col min="4360" max="4360" width="9.140625" style="263"/>
    <col min="4361" max="4361" width="13.7109375" style="263" bestFit="1" customWidth="1"/>
    <col min="4362" max="4362" width="9.7109375" style="263" customWidth="1"/>
    <col min="4363" max="4608" width="9.140625" style="263"/>
    <col min="4609" max="4609" width="5.85546875" style="263" customWidth="1"/>
    <col min="4610" max="4610" width="19.85546875" style="263" customWidth="1"/>
    <col min="4611" max="4611" width="11.140625" style="263" customWidth="1"/>
    <col min="4612" max="4612" width="12" style="263" customWidth="1"/>
    <col min="4613" max="4613" width="11" style="263" customWidth="1"/>
    <col min="4614" max="4614" width="10.85546875" style="263" customWidth="1"/>
    <col min="4615" max="4615" width="12.5703125" style="263" customWidth="1"/>
    <col min="4616" max="4616" width="9.140625" style="263"/>
    <col min="4617" max="4617" width="13.7109375" style="263" bestFit="1" customWidth="1"/>
    <col min="4618" max="4618" width="9.7109375" style="263" customWidth="1"/>
    <col min="4619" max="4864" width="9.140625" style="263"/>
    <col min="4865" max="4865" width="5.85546875" style="263" customWidth="1"/>
    <col min="4866" max="4866" width="19.85546875" style="263" customWidth="1"/>
    <col min="4867" max="4867" width="11.140625" style="263" customWidth="1"/>
    <col min="4868" max="4868" width="12" style="263" customWidth="1"/>
    <col min="4869" max="4869" width="11" style="263" customWidth="1"/>
    <col min="4870" max="4870" width="10.85546875" style="263" customWidth="1"/>
    <col min="4871" max="4871" width="12.5703125" style="263" customWidth="1"/>
    <col min="4872" max="4872" width="9.140625" style="263"/>
    <col min="4873" max="4873" width="13.7109375" style="263" bestFit="1" customWidth="1"/>
    <col min="4874" max="4874" width="9.7109375" style="263" customWidth="1"/>
    <col min="4875" max="5120" width="9.140625" style="263"/>
    <col min="5121" max="5121" width="5.85546875" style="263" customWidth="1"/>
    <col min="5122" max="5122" width="19.85546875" style="263" customWidth="1"/>
    <col min="5123" max="5123" width="11.140625" style="263" customWidth="1"/>
    <col min="5124" max="5124" width="12" style="263" customWidth="1"/>
    <col min="5125" max="5125" width="11" style="263" customWidth="1"/>
    <col min="5126" max="5126" width="10.85546875" style="263" customWidth="1"/>
    <col min="5127" max="5127" width="12.5703125" style="263" customWidth="1"/>
    <col min="5128" max="5128" width="9.140625" style="263"/>
    <col min="5129" max="5129" width="13.7109375" style="263" bestFit="1" customWidth="1"/>
    <col min="5130" max="5130" width="9.7109375" style="263" customWidth="1"/>
    <col min="5131" max="5376" width="9.140625" style="263"/>
    <col min="5377" max="5377" width="5.85546875" style="263" customWidth="1"/>
    <col min="5378" max="5378" width="19.85546875" style="263" customWidth="1"/>
    <col min="5379" max="5379" width="11.140625" style="263" customWidth="1"/>
    <col min="5380" max="5380" width="12" style="263" customWidth="1"/>
    <col min="5381" max="5381" width="11" style="263" customWidth="1"/>
    <col min="5382" max="5382" width="10.85546875" style="263" customWidth="1"/>
    <col min="5383" max="5383" width="12.5703125" style="263" customWidth="1"/>
    <col min="5384" max="5384" width="9.140625" style="263"/>
    <col min="5385" max="5385" width="13.7109375" style="263" bestFit="1" customWidth="1"/>
    <col min="5386" max="5386" width="9.7109375" style="263" customWidth="1"/>
    <col min="5387" max="5632" width="9.140625" style="263"/>
    <col min="5633" max="5633" width="5.85546875" style="263" customWidth="1"/>
    <col min="5634" max="5634" width="19.85546875" style="263" customWidth="1"/>
    <col min="5635" max="5635" width="11.140625" style="263" customWidth="1"/>
    <col min="5636" max="5636" width="12" style="263" customWidth="1"/>
    <col min="5637" max="5637" width="11" style="263" customWidth="1"/>
    <col min="5638" max="5638" width="10.85546875" style="263" customWidth="1"/>
    <col min="5639" max="5639" width="12.5703125" style="263" customWidth="1"/>
    <col min="5640" max="5640" width="9.140625" style="263"/>
    <col min="5641" max="5641" width="13.7109375" style="263" bestFit="1" customWidth="1"/>
    <col min="5642" max="5642" width="9.7109375" style="263" customWidth="1"/>
    <col min="5643" max="5888" width="9.140625" style="263"/>
    <col min="5889" max="5889" width="5.85546875" style="263" customWidth="1"/>
    <col min="5890" max="5890" width="19.85546875" style="263" customWidth="1"/>
    <col min="5891" max="5891" width="11.140625" style="263" customWidth="1"/>
    <col min="5892" max="5892" width="12" style="263" customWidth="1"/>
    <col min="5893" max="5893" width="11" style="263" customWidth="1"/>
    <col min="5894" max="5894" width="10.85546875" style="263" customWidth="1"/>
    <col min="5895" max="5895" width="12.5703125" style="263" customWidth="1"/>
    <col min="5896" max="5896" width="9.140625" style="263"/>
    <col min="5897" max="5897" width="13.7109375" style="263" bestFit="1" customWidth="1"/>
    <col min="5898" max="5898" width="9.7109375" style="263" customWidth="1"/>
    <col min="5899" max="6144" width="9.140625" style="263"/>
    <col min="6145" max="6145" width="5.85546875" style="263" customWidth="1"/>
    <col min="6146" max="6146" width="19.85546875" style="263" customWidth="1"/>
    <col min="6147" max="6147" width="11.140625" style="263" customWidth="1"/>
    <col min="6148" max="6148" width="12" style="263" customWidth="1"/>
    <col min="6149" max="6149" width="11" style="263" customWidth="1"/>
    <col min="6150" max="6150" width="10.85546875" style="263" customWidth="1"/>
    <col min="6151" max="6151" width="12.5703125" style="263" customWidth="1"/>
    <col min="6152" max="6152" width="9.140625" style="263"/>
    <col min="6153" max="6153" width="13.7109375" style="263" bestFit="1" customWidth="1"/>
    <col min="6154" max="6154" width="9.7109375" style="263" customWidth="1"/>
    <col min="6155" max="6400" width="9.140625" style="263"/>
    <col min="6401" max="6401" width="5.85546875" style="263" customWidth="1"/>
    <col min="6402" max="6402" width="19.85546875" style="263" customWidth="1"/>
    <col min="6403" max="6403" width="11.140625" style="263" customWidth="1"/>
    <col min="6404" max="6404" width="12" style="263" customWidth="1"/>
    <col min="6405" max="6405" width="11" style="263" customWidth="1"/>
    <col min="6406" max="6406" width="10.85546875" style="263" customWidth="1"/>
    <col min="6407" max="6407" width="12.5703125" style="263" customWidth="1"/>
    <col min="6408" max="6408" width="9.140625" style="263"/>
    <col min="6409" max="6409" width="13.7109375" style="263" bestFit="1" customWidth="1"/>
    <col min="6410" max="6410" width="9.7109375" style="263" customWidth="1"/>
    <col min="6411" max="6656" width="9.140625" style="263"/>
    <col min="6657" max="6657" width="5.85546875" style="263" customWidth="1"/>
    <col min="6658" max="6658" width="19.85546875" style="263" customWidth="1"/>
    <col min="6659" max="6659" width="11.140625" style="263" customWidth="1"/>
    <col min="6660" max="6660" width="12" style="263" customWidth="1"/>
    <col min="6661" max="6661" width="11" style="263" customWidth="1"/>
    <col min="6662" max="6662" width="10.85546875" style="263" customWidth="1"/>
    <col min="6663" max="6663" width="12.5703125" style="263" customWidth="1"/>
    <col min="6664" max="6664" width="9.140625" style="263"/>
    <col min="6665" max="6665" width="13.7109375" style="263" bestFit="1" customWidth="1"/>
    <col min="6666" max="6666" width="9.7109375" style="263" customWidth="1"/>
    <col min="6667" max="6912" width="9.140625" style="263"/>
    <col min="6913" max="6913" width="5.85546875" style="263" customWidth="1"/>
    <col min="6914" max="6914" width="19.85546875" style="263" customWidth="1"/>
    <col min="6915" max="6915" width="11.140625" style="263" customWidth="1"/>
    <col min="6916" max="6916" width="12" style="263" customWidth="1"/>
    <col min="6917" max="6917" width="11" style="263" customWidth="1"/>
    <col min="6918" max="6918" width="10.85546875" style="263" customWidth="1"/>
    <col min="6919" max="6919" width="12.5703125" style="263" customWidth="1"/>
    <col min="6920" max="6920" width="9.140625" style="263"/>
    <col min="6921" max="6921" width="13.7109375" style="263" bestFit="1" customWidth="1"/>
    <col min="6922" max="6922" width="9.7109375" style="263" customWidth="1"/>
    <col min="6923" max="7168" width="9.140625" style="263"/>
    <col min="7169" max="7169" width="5.85546875" style="263" customWidth="1"/>
    <col min="7170" max="7170" width="19.85546875" style="263" customWidth="1"/>
    <col min="7171" max="7171" width="11.140625" style="263" customWidth="1"/>
    <col min="7172" max="7172" width="12" style="263" customWidth="1"/>
    <col min="7173" max="7173" width="11" style="263" customWidth="1"/>
    <col min="7174" max="7174" width="10.85546875" style="263" customWidth="1"/>
    <col min="7175" max="7175" width="12.5703125" style="263" customWidth="1"/>
    <col min="7176" max="7176" width="9.140625" style="263"/>
    <col min="7177" max="7177" width="13.7109375" style="263" bestFit="1" customWidth="1"/>
    <col min="7178" max="7178" width="9.7109375" style="263" customWidth="1"/>
    <col min="7179" max="7424" width="9.140625" style="263"/>
    <col min="7425" max="7425" width="5.85546875" style="263" customWidth="1"/>
    <col min="7426" max="7426" width="19.85546875" style="263" customWidth="1"/>
    <col min="7427" max="7427" width="11.140625" style="263" customWidth="1"/>
    <col min="7428" max="7428" width="12" style="263" customWidth="1"/>
    <col min="7429" max="7429" width="11" style="263" customWidth="1"/>
    <col min="7430" max="7430" width="10.85546875" style="263" customWidth="1"/>
    <col min="7431" max="7431" width="12.5703125" style="263" customWidth="1"/>
    <col min="7432" max="7432" width="9.140625" style="263"/>
    <col min="7433" max="7433" width="13.7109375" style="263" bestFit="1" customWidth="1"/>
    <col min="7434" max="7434" width="9.7109375" style="263" customWidth="1"/>
    <col min="7435" max="7680" width="9.140625" style="263"/>
    <col min="7681" max="7681" width="5.85546875" style="263" customWidth="1"/>
    <col min="7682" max="7682" width="19.85546875" style="263" customWidth="1"/>
    <col min="7683" max="7683" width="11.140625" style="263" customWidth="1"/>
    <col min="7684" max="7684" width="12" style="263" customWidth="1"/>
    <col min="7685" max="7685" width="11" style="263" customWidth="1"/>
    <col min="7686" max="7686" width="10.85546875" style="263" customWidth="1"/>
    <col min="7687" max="7687" width="12.5703125" style="263" customWidth="1"/>
    <col min="7688" max="7688" width="9.140625" style="263"/>
    <col min="7689" max="7689" width="13.7109375" style="263" bestFit="1" customWidth="1"/>
    <col min="7690" max="7690" width="9.7109375" style="263" customWidth="1"/>
    <col min="7691" max="7936" width="9.140625" style="263"/>
    <col min="7937" max="7937" width="5.85546875" style="263" customWidth="1"/>
    <col min="7938" max="7938" width="19.85546875" style="263" customWidth="1"/>
    <col min="7939" max="7939" width="11.140625" style="263" customWidth="1"/>
    <col min="7940" max="7940" width="12" style="263" customWidth="1"/>
    <col min="7941" max="7941" width="11" style="263" customWidth="1"/>
    <col min="7942" max="7942" width="10.85546875" style="263" customWidth="1"/>
    <col min="7943" max="7943" width="12.5703125" style="263" customWidth="1"/>
    <col min="7944" max="7944" width="9.140625" style="263"/>
    <col min="7945" max="7945" width="13.7109375" style="263" bestFit="1" customWidth="1"/>
    <col min="7946" max="7946" width="9.7109375" style="263" customWidth="1"/>
    <col min="7947" max="8192" width="9.140625" style="263"/>
    <col min="8193" max="8193" width="5.85546875" style="263" customWidth="1"/>
    <col min="8194" max="8194" width="19.85546875" style="263" customWidth="1"/>
    <col min="8195" max="8195" width="11.140625" style="263" customWidth="1"/>
    <col min="8196" max="8196" width="12" style="263" customWidth="1"/>
    <col min="8197" max="8197" width="11" style="263" customWidth="1"/>
    <col min="8198" max="8198" width="10.85546875" style="263" customWidth="1"/>
    <col min="8199" max="8199" width="12.5703125" style="263" customWidth="1"/>
    <col min="8200" max="8200" width="9.140625" style="263"/>
    <col min="8201" max="8201" width="13.7109375" style="263" bestFit="1" customWidth="1"/>
    <col min="8202" max="8202" width="9.7109375" style="263" customWidth="1"/>
    <col min="8203" max="8448" width="9.140625" style="263"/>
    <col min="8449" max="8449" width="5.85546875" style="263" customWidth="1"/>
    <col min="8450" max="8450" width="19.85546875" style="263" customWidth="1"/>
    <col min="8451" max="8451" width="11.140625" style="263" customWidth="1"/>
    <col min="8452" max="8452" width="12" style="263" customWidth="1"/>
    <col min="8453" max="8453" width="11" style="263" customWidth="1"/>
    <col min="8454" max="8454" width="10.85546875" style="263" customWidth="1"/>
    <col min="8455" max="8455" width="12.5703125" style="263" customWidth="1"/>
    <col min="8456" max="8456" width="9.140625" style="263"/>
    <col min="8457" max="8457" width="13.7109375" style="263" bestFit="1" customWidth="1"/>
    <col min="8458" max="8458" width="9.7109375" style="263" customWidth="1"/>
    <col min="8459" max="8704" width="9.140625" style="263"/>
    <col min="8705" max="8705" width="5.85546875" style="263" customWidth="1"/>
    <col min="8706" max="8706" width="19.85546875" style="263" customWidth="1"/>
    <col min="8707" max="8707" width="11.140625" style="263" customWidth="1"/>
    <col min="8708" max="8708" width="12" style="263" customWidth="1"/>
    <col min="8709" max="8709" width="11" style="263" customWidth="1"/>
    <col min="8710" max="8710" width="10.85546875" style="263" customWidth="1"/>
    <col min="8711" max="8711" width="12.5703125" style="263" customWidth="1"/>
    <col min="8712" max="8712" width="9.140625" style="263"/>
    <col min="8713" max="8713" width="13.7109375" style="263" bestFit="1" customWidth="1"/>
    <col min="8714" max="8714" width="9.7109375" style="263" customWidth="1"/>
    <col min="8715" max="8960" width="9.140625" style="263"/>
    <col min="8961" max="8961" width="5.85546875" style="263" customWidth="1"/>
    <col min="8962" max="8962" width="19.85546875" style="263" customWidth="1"/>
    <col min="8963" max="8963" width="11.140625" style="263" customWidth="1"/>
    <col min="8964" max="8964" width="12" style="263" customWidth="1"/>
    <col min="8965" max="8965" width="11" style="263" customWidth="1"/>
    <col min="8966" max="8966" width="10.85546875" style="263" customWidth="1"/>
    <col min="8967" max="8967" width="12.5703125" style="263" customWidth="1"/>
    <col min="8968" max="8968" width="9.140625" style="263"/>
    <col min="8969" max="8969" width="13.7109375" style="263" bestFit="1" customWidth="1"/>
    <col min="8970" max="8970" width="9.7109375" style="263" customWidth="1"/>
    <col min="8971" max="9216" width="9.140625" style="263"/>
    <col min="9217" max="9217" width="5.85546875" style="263" customWidth="1"/>
    <col min="9218" max="9218" width="19.85546875" style="263" customWidth="1"/>
    <col min="9219" max="9219" width="11.140625" style="263" customWidth="1"/>
    <col min="9220" max="9220" width="12" style="263" customWidth="1"/>
    <col min="9221" max="9221" width="11" style="263" customWidth="1"/>
    <col min="9222" max="9222" width="10.85546875" style="263" customWidth="1"/>
    <col min="9223" max="9223" width="12.5703125" style="263" customWidth="1"/>
    <col min="9224" max="9224" width="9.140625" style="263"/>
    <col min="9225" max="9225" width="13.7109375" style="263" bestFit="1" customWidth="1"/>
    <col min="9226" max="9226" width="9.7109375" style="263" customWidth="1"/>
    <col min="9227" max="9472" width="9.140625" style="263"/>
    <col min="9473" max="9473" width="5.85546875" style="263" customWidth="1"/>
    <col min="9474" max="9474" width="19.85546875" style="263" customWidth="1"/>
    <col min="9475" max="9475" width="11.140625" style="263" customWidth="1"/>
    <col min="9476" max="9476" width="12" style="263" customWidth="1"/>
    <col min="9477" max="9477" width="11" style="263" customWidth="1"/>
    <col min="9478" max="9478" width="10.85546875" style="263" customWidth="1"/>
    <col min="9479" max="9479" width="12.5703125" style="263" customWidth="1"/>
    <col min="9480" max="9480" width="9.140625" style="263"/>
    <col min="9481" max="9481" width="13.7109375" style="263" bestFit="1" customWidth="1"/>
    <col min="9482" max="9482" width="9.7109375" style="263" customWidth="1"/>
    <col min="9483" max="9728" width="9.140625" style="263"/>
    <col min="9729" max="9729" width="5.85546875" style="263" customWidth="1"/>
    <col min="9730" max="9730" width="19.85546875" style="263" customWidth="1"/>
    <col min="9731" max="9731" width="11.140625" style="263" customWidth="1"/>
    <col min="9732" max="9732" width="12" style="263" customWidth="1"/>
    <col min="9733" max="9733" width="11" style="263" customWidth="1"/>
    <col min="9734" max="9734" width="10.85546875" style="263" customWidth="1"/>
    <col min="9735" max="9735" width="12.5703125" style="263" customWidth="1"/>
    <col min="9736" max="9736" width="9.140625" style="263"/>
    <col min="9737" max="9737" width="13.7109375" style="263" bestFit="1" customWidth="1"/>
    <col min="9738" max="9738" width="9.7109375" style="263" customWidth="1"/>
    <col min="9739" max="9984" width="9.140625" style="263"/>
    <col min="9985" max="9985" width="5.85546875" style="263" customWidth="1"/>
    <col min="9986" max="9986" width="19.85546875" style="263" customWidth="1"/>
    <col min="9987" max="9987" width="11.140625" style="263" customWidth="1"/>
    <col min="9988" max="9988" width="12" style="263" customWidth="1"/>
    <col min="9989" max="9989" width="11" style="263" customWidth="1"/>
    <col min="9990" max="9990" width="10.85546875" style="263" customWidth="1"/>
    <col min="9991" max="9991" width="12.5703125" style="263" customWidth="1"/>
    <col min="9992" max="9992" width="9.140625" style="263"/>
    <col min="9993" max="9993" width="13.7109375" style="263" bestFit="1" customWidth="1"/>
    <col min="9994" max="9994" width="9.7109375" style="263" customWidth="1"/>
    <col min="9995" max="10240" width="9.140625" style="263"/>
    <col min="10241" max="10241" width="5.85546875" style="263" customWidth="1"/>
    <col min="10242" max="10242" width="19.85546875" style="263" customWidth="1"/>
    <col min="10243" max="10243" width="11.140625" style="263" customWidth="1"/>
    <col min="10244" max="10244" width="12" style="263" customWidth="1"/>
    <col min="10245" max="10245" width="11" style="263" customWidth="1"/>
    <col min="10246" max="10246" width="10.85546875" style="263" customWidth="1"/>
    <col min="10247" max="10247" width="12.5703125" style="263" customWidth="1"/>
    <col min="10248" max="10248" width="9.140625" style="263"/>
    <col min="10249" max="10249" width="13.7109375" style="263" bestFit="1" customWidth="1"/>
    <col min="10250" max="10250" width="9.7109375" style="263" customWidth="1"/>
    <col min="10251" max="10496" width="9.140625" style="263"/>
    <col min="10497" max="10497" width="5.85546875" style="263" customWidth="1"/>
    <col min="10498" max="10498" width="19.85546875" style="263" customWidth="1"/>
    <col min="10499" max="10499" width="11.140625" style="263" customWidth="1"/>
    <col min="10500" max="10500" width="12" style="263" customWidth="1"/>
    <col min="10501" max="10501" width="11" style="263" customWidth="1"/>
    <col min="10502" max="10502" width="10.85546875" style="263" customWidth="1"/>
    <col min="10503" max="10503" width="12.5703125" style="263" customWidth="1"/>
    <col min="10504" max="10504" width="9.140625" style="263"/>
    <col min="10505" max="10505" width="13.7109375" style="263" bestFit="1" customWidth="1"/>
    <col min="10506" max="10506" width="9.7109375" style="263" customWidth="1"/>
    <col min="10507" max="10752" width="9.140625" style="263"/>
    <col min="10753" max="10753" width="5.85546875" style="263" customWidth="1"/>
    <col min="10754" max="10754" width="19.85546875" style="263" customWidth="1"/>
    <col min="10755" max="10755" width="11.140625" style="263" customWidth="1"/>
    <col min="10756" max="10756" width="12" style="263" customWidth="1"/>
    <col min="10757" max="10757" width="11" style="263" customWidth="1"/>
    <col min="10758" max="10758" width="10.85546875" style="263" customWidth="1"/>
    <col min="10759" max="10759" width="12.5703125" style="263" customWidth="1"/>
    <col min="10760" max="10760" width="9.140625" style="263"/>
    <col min="10761" max="10761" width="13.7109375" style="263" bestFit="1" customWidth="1"/>
    <col min="10762" max="10762" width="9.7109375" style="263" customWidth="1"/>
    <col min="10763" max="11008" width="9.140625" style="263"/>
    <col min="11009" max="11009" width="5.85546875" style="263" customWidth="1"/>
    <col min="11010" max="11010" width="19.85546875" style="263" customWidth="1"/>
    <col min="11011" max="11011" width="11.140625" style="263" customWidth="1"/>
    <col min="11012" max="11012" width="12" style="263" customWidth="1"/>
    <col min="11013" max="11013" width="11" style="263" customWidth="1"/>
    <col min="11014" max="11014" width="10.85546875" style="263" customWidth="1"/>
    <col min="11015" max="11015" width="12.5703125" style="263" customWidth="1"/>
    <col min="11016" max="11016" width="9.140625" style="263"/>
    <col min="11017" max="11017" width="13.7109375" style="263" bestFit="1" customWidth="1"/>
    <col min="11018" max="11018" width="9.7109375" style="263" customWidth="1"/>
    <col min="11019" max="11264" width="9.140625" style="263"/>
    <col min="11265" max="11265" width="5.85546875" style="263" customWidth="1"/>
    <col min="11266" max="11266" width="19.85546875" style="263" customWidth="1"/>
    <col min="11267" max="11267" width="11.140625" style="263" customWidth="1"/>
    <col min="11268" max="11268" width="12" style="263" customWidth="1"/>
    <col min="11269" max="11269" width="11" style="263" customWidth="1"/>
    <col min="11270" max="11270" width="10.85546875" style="263" customWidth="1"/>
    <col min="11271" max="11271" width="12.5703125" style="263" customWidth="1"/>
    <col min="11272" max="11272" width="9.140625" style="263"/>
    <col min="11273" max="11273" width="13.7109375" style="263" bestFit="1" customWidth="1"/>
    <col min="11274" max="11274" width="9.7109375" style="263" customWidth="1"/>
    <col min="11275" max="11520" width="9.140625" style="263"/>
    <col min="11521" max="11521" width="5.85546875" style="263" customWidth="1"/>
    <col min="11522" max="11522" width="19.85546875" style="263" customWidth="1"/>
    <col min="11523" max="11523" width="11.140625" style="263" customWidth="1"/>
    <col min="11524" max="11524" width="12" style="263" customWidth="1"/>
    <col min="11525" max="11525" width="11" style="263" customWidth="1"/>
    <col min="11526" max="11526" width="10.85546875" style="263" customWidth="1"/>
    <col min="11527" max="11527" width="12.5703125" style="263" customWidth="1"/>
    <col min="11528" max="11528" width="9.140625" style="263"/>
    <col min="11529" max="11529" width="13.7109375" style="263" bestFit="1" customWidth="1"/>
    <col min="11530" max="11530" width="9.7109375" style="263" customWidth="1"/>
    <col min="11531" max="11776" width="9.140625" style="263"/>
    <col min="11777" max="11777" width="5.85546875" style="263" customWidth="1"/>
    <col min="11778" max="11778" width="19.85546875" style="263" customWidth="1"/>
    <col min="11779" max="11779" width="11.140625" style="263" customWidth="1"/>
    <col min="11780" max="11780" width="12" style="263" customWidth="1"/>
    <col min="11781" max="11781" width="11" style="263" customWidth="1"/>
    <col min="11782" max="11782" width="10.85546875" style="263" customWidth="1"/>
    <col min="11783" max="11783" width="12.5703125" style="263" customWidth="1"/>
    <col min="11784" max="11784" width="9.140625" style="263"/>
    <col min="11785" max="11785" width="13.7109375" style="263" bestFit="1" customWidth="1"/>
    <col min="11786" max="11786" width="9.7109375" style="263" customWidth="1"/>
    <col min="11787" max="12032" width="9.140625" style="263"/>
    <col min="12033" max="12033" width="5.85546875" style="263" customWidth="1"/>
    <col min="12034" max="12034" width="19.85546875" style="263" customWidth="1"/>
    <col min="12035" max="12035" width="11.140625" style="263" customWidth="1"/>
    <col min="12036" max="12036" width="12" style="263" customWidth="1"/>
    <col min="12037" max="12037" width="11" style="263" customWidth="1"/>
    <col min="12038" max="12038" width="10.85546875" style="263" customWidth="1"/>
    <col min="12039" max="12039" width="12.5703125" style="263" customWidth="1"/>
    <col min="12040" max="12040" width="9.140625" style="263"/>
    <col min="12041" max="12041" width="13.7109375" style="263" bestFit="1" customWidth="1"/>
    <col min="12042" max="12042" width="9.7109375" style="263" customWidth="1"/>
    <col min="12043" max="12288" width="9.140625" style="263"/>
    <col min="12289" max="12289" width="5.85546875" style="263" customWidth="1"/>
    <col min="12290" max="12290" width="19.85546875" style="263" customWidth="1"/>
    <col min="12291" max="12291" width="11.140625" style="263" customWidth="1"/>
    <col min="12292" max="12292" width="12" style="263" customWidth="1"/>
    <col min="12293" max="12293" width="11" style="263" customWidth="1"/>
    <col min="12294" max="12294" width="10.85546875" style="263" customWidth="1"/>
    <col min="12295" max="12295" width="12.5703125" style="263" customWidth="1"/>
    <col min="12296" max="12296" width="9.140625" style="263"/>
    <col min="12297" max="12297" width="13.7109375" style="263" bestFit="1" customWidth="1"/>
    <col min="12298" max="12298" width="9.7109375" style="263" customWidth="1"/>
    <col min="12299" max="12544" width="9.140625" style="263"/>
    <col min="12545" max="12545" width="5.85546875" style="263" customWidth="1"/>
    <col min="12546" max="12546" width="19.85546875" style="263" customWidth="1"/>
    <col min="12547" max="12547" width="11.140625" style="263" customWidth="1"/>
    <col min="12548" max="12548" width="12" style="263" customWidth="1"/>
    <col min="12549" max="12549" width="11" style="263" customWidth="1"/>
    <col min="12550" max="12550" width="10.85546875" style="263" customWidth="1"/>
    <col min="12551" max="12551" width="12.5703125" style="263" customWidth="1"/>
    <col min="12552" max="12552" width="9.140625" style="263"/>
    <col min="12553" max="12553" width="13.7109375" style="263" bestFit="1" customWidth="1"/>
    <col min="12554" max="12554" width="9.7109375" style="263" customWidth="1"/>
    <col min="12555" max="12800" width="9.140625" style="263"/>
    <col min="12801" max="12801" width="5.85546875" style="263" customWidth="1"/>
    <col min="12802" max="12802" width="19.85546875" style="263" customWidth="1"/>
    <col min="12803" max="12803" width="11.140625" style="263" customWidth="1"/>
    <col min="12804" max="12804" width="12" style="263" customWidth="1"/>
    <col min="12805" max="12805" width="11" style="263" customWidth="1"/>
    <col min="12806" max="12806" width="10.85546875" style="263" customWidth="1"/>
    <col min="12807" max="12807" width="12.5703125" style="263" customWidth="1"/>
    <col min="12808" max="12808" width="9.140625" style="263"/>
    <col min="12809" max="12809" width="13.7109375" style="263" bestFit="1" customWidth="1"/>
    <col min="12810" max="12810" width="9.7109375" style="263" customWidth="1"/>
    <col min="12811" max="13056" width="9.140625" style="263"/>
    <col min="13057" max="13057" width="5.85546875" style="263" customWidth="1"/>
    <col min="13058" max="13058" width="19.85546875" style="263" customWidth="1"/>
    <col min="13059" max="13059" width="11.140625" style="263" customWidth="1"/>
    <col min="13060" max="13060" width="12" style="263" customWidth="1"/>
    <col min="13061" max="13061" width="11" style="263" customWidth="1"/>
    <col min="13062" max="13062" width="10.85546875" style="263" customWidth="1"/>
    <col min="13063" max="13063" width="12.5703125" style="263" customWidth="1"/>
    <col min="13064" max="13064" width="9.140625" style="263"/>
    <col min="13065" max="13065" width="13.7109375" style="263" bestFit="1" customWidth="1"/>
    <col min="13066" max="13066" width="9.7109375" style="263" customWidth="1"/>
    <col min="13067" max="13312" width="9.140625" style="263"/>
    <col min="13313" max="13313" width="5.85546875" style="263" customWidth="1"/>
    <col min="13314" max="13314" width="19.85546875" style="263" customWidth="1"/>
    <col min="13315" max="13315" width="11.140625" style="263" customWidth="1"/>
    <col min="13316" max="13316" width="12" style="263" customWidth="1"/>
    <col min="13317" max="13317" width="11" style="263" customWidth="1"/>
    <col min="13318" max="13318" width="10.85546875" style="263" customWidth="1"/>
    <col min="13319" max="13319" width="12.5703125" style="263" customWidth="1"/>
    <col min="13320" max="13320" width="9.140625" style="263"/>
    <col min="13321" max="13321" width="13.7109375" style="263" bestFit="1" customWidth="1"/>
    <col min="13322" max="13322" width="9.7109375" style="263" customWidth="1"/>
    <col min="13323" max="13568" width="9.140625" style="263"/>
    <col min="13569" max="13569" width="5.85546875" style="263" customWidth="1"/>
    <col min="13570" max="13570" width="19.85546875" style="263" customWidth="1"/>
    <col min="13571" max="13571" width="11.140625" style="263" customWidth="1"/>
    <col min="13572" max="13572" width="12" style="263" customWidth="1"/>
    <col min="13573" max="13573" width="11" style="263" customWidth="1"/>
    <col min="13574" max="13574" width="10.85546875" style="263" customWidth="1"/>
    <col min="13575" max="13575" width="12.5703125" style="263" customWidth="1"/>
    <col min="13576" max="13576" width="9.140625" style="263"/>
    <col min="13577" max="13577" width="13.7109375" style="263" bestFit="1" customWidth="1"/>
    <col min="13578" max="13578" width="9.7109375" style="263" customWidth="1"/>
    <col min="13579" max="13824" width="9.140625" style="263"/>
    <col min="13825" max="13825" width="5.85546875" style="263" customWidth="1"/>
    <col min="13826" max="13826" width="19.85546875" style="263" customWidth="1"/>
    <col min="13827" max="13827" width="11.140625" style="263" customWidth="1"/>
    <col min="13828" max="13828" width="12" style="263" customWidth="1"/>
    <col min="13829" max="13829" width="11" style="263" customWidth="1"/>
    <col min="13830" max="13830" width="10.85546875" style="263" customWidth="1"/>
    <col min="13831" max="13831" width="12.5703125" style="263" customWidth="1"/>
    <col min="13832" max="13832" width="9.140625" style="263"/>
    <col min="13833" max="13833" width="13.7109375" style="263" bestFit="1" customWidth="1"/>
    <col min="13834" max="13834" width="9.7109375" style="263" customWidth="1"/>
    <col min="13835" max="14080" width="9.140625" style="263"/>
    <col min="14081" max="14081" width="5.85546875" style="263" customWidth="1"/>
    <col min="14082" max="14082" width="19.85546875" style="263" customWidth="1"/>
    <col min="14083" max="14083" width="11.140625" style="263" customWidth="1"/>
    <col min="14084" max="14084" width="12" style="263" customWidth="1"/>
    <col min="14085" max="14085" width="11" style="263" customWidth="1"/>
    <col min="14086" max="14086" width="10.85546875" style="263" customWidth="1"/>
    <col min="14087" max="14087" width="12.5703125" style="263" customWidth="1"/>
    <col min="14088" max="14088" width="9.140625" style="263"/>
    <col min="14089" max="14089" width="13.7109375" style="263" bestFit="1" customWidth="1"/>
    <col min="14090" max="14090" width="9.7109375" style="263" customWidth="1"/>
    <col min="14091" max="14336" width="9.140625" style="263"/>
    <col min="14337" max="14337" width="5.85546875" style="263" customWidth="1"/>
    <col min="14338" max="14338" width="19.85546875" style="263" customWidth="1"/>
    <col min="14339" max="14339" width="11.140625" style="263" customWidth="1"/>
    <col min="14340" max="14340" width="12" style="263" customWidth="1"/>
    <col min="14341" max="14341" width="11" style="263" customWidth="1"/>
    <col min="14342" max="14342" width="10.85546875" style="263" customWidth="1"/>
    <col min="14343" max="14343" width="12.5703125" style="263" customWidth="1"/>
    <col min="14344" max="14344" width="9.140625" style="263"/>
    <col min="14345" max="14345" width="13.7109375" style="263" bestFit="1" customWidth="1"/>
    <col min="14346" max="14346" width="9.7109375" style="263" customWidth="1"/>
    <col min="14347" max="14592" width="9.140625" style="263"/>
    <col min="14593" max="14593" width="5.85546875" style="263" customWidth="1"/>
    <col min="14594" max="14594" width="19.85546875" style="263" customWidth="1"/>
    <col min="14595" max="14595" width="11.140625" style="263" customWidth="1"/>
    <col min="14596" max="14596" width="12" style="263" customWidth="1"/>
    <col min="14597" max="14597" width="11" style="263" customWidth="1"/>
    <col min="14598" max="14598" width="10.85546875" style="263" customWidth="1"/>
    <col min="14599" max="14599" width="12.5703125" style="263" customWidth="1"/>
    <col min="14600" max="14600" width="9.140625" style="263"/>
    <col min="14601" max="14601" width="13.7109375" style="263" bestFit="1" customWidth="1"/>
    <col min="14602" max="14602" width="9.7109375" style="263" customWidth="1"/>
    <col min="14603" max="14848" width="9.140625" style="263"/>
    <col min="14849" max="14849" width="5.85546875" style="263" customWidth="1"/>
    <col min="14850" max="14850" width="19.85546875" style="263" customWidth="1"/>
    <col min="14851" max="14851" width="11.140625" style="263" customWidth="1"/>
    <col min="14852" max="14852" width="12" style="263" customWidth="1"/>
    <col min="14853" max="14853" width="11" style="263" customWidth="1"/>
    <col min="14854" max="14854" width="10.85546875" style="263" customWidth="1"/>
    <col min="14855" max="14855" width="12.5703125" style="263" customWidth="1"/>
    <col min="14856" max="14856" width="9.140625" style="263"/>
    <col min="14857" max="14857" width="13.7109375" style="263" bestFit="1" customWidth="1"/>
    <col min="14858" max="14858" width="9.7109375" style="263" customWidth="1"/>
    <col min="14859" max="15104" width="9.140625" style="263"/>
    <col min="15105" max="15105" width="5.85546875" style="263" customWidth="1"/>
    <col min="15106" max="15106" width="19.85546875" style="263" customWidth="1"/>
    <col min="15107" max="15107" width="11.140625" style="263" customWidth="1"/>
    <col min="15108" max="15108" width="12" style="263" customWidth="1"/>
    <col min="15109" max="15109" width="11" style="263" customWidth="1"/>
    <col min="15110" max="15110" width="10.85546875" style="263" customWidth="1"/>
    <col min="15111" max="15111" width="12.5703125" style="263" customWidth="1"/>
    <col min="15112" max="15112" width="9.140625" style="263"/>
    <col min="15113" max="15113" width="13.7109375" style="263" bestFit="1" customWidth="1"/>
    <col min="15114" max="15114" width="9.7109375" style="263" customWidth="1"/>
    <col min="15115" max="15360" width="9.140625" style="263"/>
    <col min="15361" max="15361" width="5.85546875" style="263" customWidth="1"/>
    <col min="15362" max="15362" width="19.85546875" style="263" customWidth="1"/>
    <col min="15363" max="15363" width="11.140625" style="263" customWidth="1"/>
    <col min="15364" max="15364" width="12" style="263" customWidth="1"/>
    <col min="15365" max="15365" width="11" style="263" customWidth="1"/>
    <col min="15366" max="15366" width="10.85546875" style="263" customWidth="1"/>
    <col min="15367" max="15367" width="12.5703125" style="263" customWidth="1"/>
    <col min="15368" max="15368" width="9.140625" style="263"/>
    <col min="15369" max="15369" width="13.7109375" style="263" bestFit="1" customWidth="1"/>
    <col min="15370" max="15370" width="9.7109375" style="263" customWidth="1"/>
    <col min="15371" max="15616" width="9.140625" style="263"/>
    <col min="15617" max="15617" width="5.85546875" style="263" customWidth="1"/>
    <col min="15618" max="15618" width="19.85546875" style="263" customWidth="1"/>
    <col min="15619" max="15619" width="11.140625" style="263" customWidth="1"/>
    <col min="15620" max="15620" width="12" style="263" customWidth="1"/>
    <col min="15621" max="15621" width="11" style="263" customWidth="1"/>
    <col min="15622" max="15622" width="10.85546875" style="263" customWidth="1"/>
    <col min="15623" max="15623" width="12.5703125" style="263" customWidth="1"/>
    <col min="15624" max="15624" width="9.140625" style="263"/>
    <col min="15625" max="15625" width="13.7109375" style="263" bestFit="1" customWidth="1"/>
    <col min="15626" max="15626" width="9.7109375" style="263" customWidth="1"/>
    <col min="15627" max="15872" width="9.140625" style="263"/>
    <col min="15873" max="15873" width="5.85546875" style="263" customWidth="1"/>
    <col min="15874" max="15874" width="19.85546875" style="263" customWidth="1"/>
    <col min="15875" max="15875" width="11.140625" style="263" customWidth="1"/>
    <col min="15876" max="15876" width="12" style="263" customWidth="1"/>
    <col min="15877" max="15877" width="11" style="263" customWidth="1"/>
    <col min="15878" max="15878" width="10.85546875" style="263" customWidth="1"/>
    <col min="15879" max="15879" width="12.5703125" style="263" customWidth="1"/>
    <col min="15880" max="15880" width="9.140625" style="263"/>
    <col min="15881" max="15881" width="13.7109375" style="263" bestFit="1" customWidth="1"/>
    <col min="15882" max="15882" width="9.7109375" style="263" customWidth="1"/>
    <col min="15883" max="16128" width="9.140625" style="263"/>
    <col min="16129" max="16129" width="5.85546875" style="263" customWidth="1"/>
    <col min="16130" max="16130" width="19.85546875" style="263" customWidth="1"/>
    <col min="16131" max="16131" width="11.140625" style="263" customWidth="1"/>
    <col min="16132" max="16132" width="12" style="263" customWidth="1"/>
    <col min="16133" max="16133" width="11" style="263" customWidth="1"/>
    <col min="16134" max="16134" width="10.85546875" style="263" customWidth="1"/>
    <col min="16135" max="16135" width="12.5703125" style="263" customWidth="1"/>
    <col min="16136" max="16136" width="9.140625" style="263"/>
    <col min="16137" max="16137" width="13.7109375" style="263" bestFit="1" customWidth="1"/>
    <col min="16138" max="16138" width="9.7109375" style="263" customWidth="1"/>
    <col min="16139" max="16384" width="9.140625" style="263"/>
  </cols>
  <sheetData>
    <row r="1" spans="1:7" s="262" customFormat="1" ht="15">
      <c r="A1" s="262" t="s">
        <v>331</v>
      </c>
    </row>
    <row r="2" spans="1:7" s="262" customFormat="1" ht="15">
      <c r="A2" s="262" t="s">
        <v>332</v>
      </c>
    </row>
    <row r="4" spans="1:7" s="69" customFormat="1" ht="18.75">
      <c r="B4" s="69" t="s">
        <v>333</v>
      </c>
    </row>
    <row r="7" spans="1:7" ht="15">
      <c r="A7" s="264" t="s">
        <v>334</v>
      </c>
      <c r="B7" s="264" t="s">
        <v>118</v>
      </c>
      <c r="C7" s="264" t="s">
        <v>335</v>
      </c>
      <c r="D7" s="264" t="s">
        <v>336</v>
      </c>
      <c r="E7" s="264" t="s">
        <v>337</v>
      </c>
      <c r="F7" s="264" t="s">
        <v>338</v>
      </c>
      <c r="G7" s="264" t="s">
        <v>339</v>
      </c>
    </row>
    <row r="8" spans="1:7" ht="15">
      <c r="A8" s="265"/>
      <c r="B8" s="265"/>
      <c r="C8" s="265"/>
      <c r="D8" s="265" t="s">
        <v>340</v>
      </c>
      <c r="E8" s="265"/>
      <c r="F8" s="265"/>
      <c r="G8" s="265" t="s">
        <v>341</v>
      </c>
    </row>
    <row r="9" spans="1:7">
      <c r="A9" s="263">
        <v>1</v>
      </c>
      <c r="B9" s="263" t="s">
        <v>225</v>
      </c>
      <c r="D9" s="266"/>
      <c r="E9" s="266"/>
      <c r="F9" s="266"/>
      <c r="G9" s="266">
        <f>+D9+E9-F9</f>
        <v>0</v>
      </c>
    </row>
    <row r="10" spans="1:7">
      <c r="A10" s="263">
        <v>2</v>
      </c>
      <c r="B10" s="263" t="s">
        <v>342</v>
      </c>
      <c r="D10" s="266">
        <f>+[1]amort.!G208-[1]amort.!G201</f>
        <v>13533964</v>
      </c>
      <c r="E10" s="266">
        <f>+[1]amort.!G202</f>
        <v>659730</v>
      </c>
      <c r="F10" s="266"/>
      <c r="G10" s="266">
        <f t="shared" ref="G10:G18" si="0">+D10+E10-F10</f>
        <v>14193694</v>
      </c>
    </row>
    <row r="11" spans="1:7">
      <c r="B11" s="263" t="s">
        <v>343</v>
      </c>
      <c r="D11" s="266">
        <v>56000000</v>
      </c>
      <c r="E11" s="266"/>
      <c r="F11" s="266"/>
      <c r="G11" s="266">
        <f t="shared" si="0"/>
        <v>56000000</v>
      </c>
    </row>
    <row r="12" spans="1:7">
      <c r="A12" s="263">
        <v>3</v>
      </c>
      <c r="B12" s="263" t="s">
        <v>344</v>
      </c>
      <c r="D12" s="266">
        <f>+[1]amort.!G338-[1]amort.!F333-[1]amort.!F332-[1]amort.!F331-[1]amort.!F330-[1]amort.!F329-[1]amort.!F328-[1]amort.!F327-[1]amort.!F326</f>
        <v>71269075.793866664</v>
      </c>
      <c r="E12" s="266">
        <f>+[1]amort.!F326+[1]amort.!F327+[1]amort.!F328+[1]amort.!F329+[1]amort.!F330+[1]amort.!F331+[1]amort.!F332+[1]amort.!F333</f>
        <v>18285543.525000002</v>
      </c>
      <c r="F12" s="266">
        <f>+[1]amort.!P139+[1]amort.!F202</f>
        <v>26679498</v>
      </c>
      <c r="G12" s="266">
        <f t="shared" si="0"/>
        <v>62875121.31886667</v>
      </c>
    </row>
    <row r="13" spans="1:7">
      <c r="A13" s="263">
        <v>4</v>
      </c>
      <c r="B13" s="263" t="s">
        <v>345</v>
      </c>
      <c r="D13" s="266">
        <f>+[1]amort.!G236-[1]amort.!F234-[1]amort.!F233-[1]amort.!F232-[1]amort.!F231-[1]amort.!F230-[1]amort.!F229</f>
        <v>40416269.596266665</v>
      </c>
      <c r="E13" s="266">
        <f>+[1]amort.!F229+[1]amort.!F230+[1]amort.!F231+[1]amort.!F232+[1]amort.!F233+[1]amort.!F234</f>
        <v>18814272</v>
      </c>
      <c r="F13" s="266">
        <f>+[1]amort.!P48</f>
        <v>8787600</v>
      </c>
      <c r="G13" s="266">
        <f t="shared" si="0"/>
        <v>50442941.596266665</v>
      </c>
    </row>
    <row r="14" spans="1:7">
      <c r="A14" s="263">
        <v>5</v>
      </c>
      <c r="B14" s="263" t="s">
        <v>346</v>
      </c>
      <c r="D14" s="266">
        <f>+[1]amort.!G394-[1]amort.!F392-[1]amort.!F391-[1]amort.!F390-[1]amort.!F389-[1]amort.!F388-[1]amort.!F387-[1]amort.!F386-[1]amort.!F385-[1]amort.!F384-[1]amort.!F383-[1]amort.!F382</f>
        <v>788636</v>
      </c>
      <c r="E14" s="266">
        <f>+[1]amort.!F382+[1]amort.!F383+[1]amort.!F384+[1]amort.!F385+[1]amort.!F386+[1]amort.!F387+[1]amort.!F388+[1]amort.!F389+[1]amort.!F390+[1]amort.!F391+[1]amort.!F392</f>
        <v>1460769</v>
      </c>
      <c r="F14" s="266"/>
      <c r="G14" s="266">
        <f t="shared" si="0"/>
        <v>2249405</v>
      </c>
    </row>
    <row r="15" spans="1:7">
      <c r="A15" s="263">
        <v>1</v>
      </c>
      <c r="B15" s="263" t="s">
        <v>347</v>
      </c>
      <c r="D15" s="266">
        <f>+[1]amort.!G372-[1]amort.!F368-[1]amort.!F367-[1]amort.!F366-[1]amort.!F365-[1]amort.!F364</f>
        <v>981723.29999999981</v>
      </c>
      <c r="E15" s="266">
        <f>+[1]amort.!F364+[1]amort.!F365+[1]amort.!F366+[1]amort.!F367+[1]amort.!F368</f>
        <v>1912583</v>
      </c>
      <c r="F15" s="266"/>
      <c r="G15" s="266">
        <f t="shared" si="0"/>
        <v>2894306.3</v>
      </c>
    </row>
    <row r="16" spans="1:7">
      <c r="A16" s="263">
        <v>2</v>
      </c>
      <c r="D16" s="266"/>
      <c r="E16" s="266"/>
      <c r="F16" s="266"/>
      <c r="G16" s="266">
        <f t="shared" si="0"/>
        <v>0</v>
      </c>
    </row>
    <row r="17" spans="1:9">
      <c r="A17" s="263">
        <v>3</v>
      </c>
      <c r="D17" s="266"/>
      <c r="E17" s="266"/>
      <c r="F17" s="266"/>
      <c r="G17" s="266">
        <f t="shared" si="0"/>
        <v>0</v>
      </c>
    </row>
    <row r="18" spans="1:9">
      <c r="A18" s="263">
        <v>4</v>
      </c>
      <c r="D18" s="266"/>
      <c r="E18" s="266"/>
      <c r="F18" s="266"/>
      <c r="G18" s="266">
        <f t="shared" si="0"/>
        <v>0</v>
      </c>
    </row>
    <row r="19" spans="1:9">
      <c r="D19" s="266"/>
      <c r="E19" s="266"/>
      <c r="F19" s="266"/>
      <c r="G19" s="266"/>
    </row>
    <row r="20" spans="1:9" ht="15">
      <c r="A20" s="267"/>
      <c r="B20" s="268" t="s">
        <v>183</v>
      </c>
      <c r="C20" s="269"/>
      <c r="D20" s="270">
        <f>SUM(D9:D19)</f>
        <v>182989668.69013333</v>
      </c>
      <c r="E20" s="270">
        <f>SUM(E9:E19)</f>
        <v>41132897.525000006</v>
      </c>
      <c r="F20" s="270">
        <f>SUM(F9:F19)</f>
        <v>35467098</v>
      </c>
      <c r="G20" s="271">
        <f>SUM(G9:G19)</f>
        <v>188655468.21513334</v>
      </c>
    </row>
    <row r="23" spans="1:9" s="272" customFormat="1" ht="18.75">
      <c r="B23" s="272" t="s">
        <v>348</v>
      </c>
      <c r="I23" s="263"/>
    </row>
    <row r="25" spans="1:9" ht="15">
      <c r="A25" s="264" t="s">
        <v>334</v>
      </c>
      <c r="B25" s="264" t="s">
        <v>118</v>
      </c>
      <c r="C25" s="264" t="s">
        <v>335</v>
      </c>
      <c r="D25" s="264" t="s">
        <v>336</v>
      </c>
      <c r="E25" s="264" t="s">
        <v>337</v>
      </c>
      <c r="F25" s="264" t="s">
        <v>338</v>
      </c>
      <c r="G25" s="264" t="s">
        <v>339</v>
      </c>
    </row>
    <row r="26" spans="1:9" ht="15">
      <c r="A26" s="265"/>
      <c r="B26" s="265"/>
      <c r="C26" s="265"/>
      <c r="D26" s="265" t="s">
        <v>340</v>
      </c>
      <c r="E26" s="265"/>
      <c r="F26" s="265"/>
      <c r="G26" s="265" t="s">
        <v>341</v>
      </c>
    </row>
    <row r="27" spans="1:9">
      <c r="A27" s="263">
        <v>1</v>
      </c>
      <c r="B27" s="263" t="s">
        <v>225</v>
      </c>
      <c r="D27" s="266"/>
      <c r="E27" s="266"/>
      <c r="F27" s="266"/>
      <c r="G27" s="266">
        <f t="shared" ref="G27:G33" si="1">+D27+E27-F27</f>
        <v>0</v>
      </c>
    </row>
    <row r="28" spans="1:9">
      <c r="A28" s="263">
        <v>2</v>
      </c>
      <c r="B28" s="263" t="s">
        <v>342</v>
      </c>
      <c r="D28" s="266">
        <f>+[1]amort.!H200</f>
        <v>4579440</v>
      </c>
      <c r="E28" s="266">
        <f>+[1]amort.!K208</f>
        <v>650401.1</v>
      </c>
      <c r="F28" s="266"/>
      <c r="G28" s="266">
        <f>+D28+E28-F28</f>
        <v>5229841.0999999996</v>
      </c>
    </row>
    <row r="29" spans="1:9">
      <c r="A29" s="263">
        <v>3</v>
      </c>
      <c r="B29" s="263" t="s">
        <v>344</v>
      </c>
      <c r="D29" s="266">
        <f>+[1]amort.!H338+[1]amort.!H208-[1]amort.!H200</f>
        <v>12201270</v>
      </c>
      <c r="E29" s="266">
        <f>+[1]amort.!K338</f>
        <v>13855756.66169</v>
      </c>
      <c r="F29" s="266">
        <f>+[1]amort.!M139</f>
        <v>5478532.7166666668</v>
      </c>
      <c r="G29" s="266">
        <f t="shared" si="1"/>
        <v>20578493.945023336</v>
      </c>
    </row>
    <row r="30" spans="1:9">
      <c r="A30" s="263">
        <v>4</v>
      </c>
      <c r="B30" s="263" t="s">
        <v>345</v>
      </c>
      <c r="D30" s="266">
        <f>+[1]amort.!H236</f>
        <v>14249831</v>
      </c>
      <c r="E30" s="266">
        <f>+[1]amort.!K236</f>
        <v>6633975.1859200001</v>
      </c>
      <c r="F30" s="266">
        <f>+[1]amort.!M48</f>
        <v>3725942.4</v>
      </c>
      <c r="G30" s="266">
        <f t="shared" si="1"/>
        <v>17157863.785920002</v>
      </c>
    </row>
    <row r="31" spans="1:9">
      <c r="A31" s="263">
        <v>5</v>
      </c>
      <c r="B31" s="263" t="s">
        <v>346</v>
      </c>
      <c r="D31" s="266">
        <f>+[1]amort.!H394</f>
        <v>262615</v>
      </c>
      <c r="E31" s="266">
        <f>+[1]amort.!K394</f>
        <v>159873.75</v>
      </c>
      <c r="F31" s="266"/>
      <c r="G31" s="266">
        <f t="shared" si="1"/>
        <v>422488.75</v>
      </c>
    </row>
    <row r="32" spans="1:9">
      <c r="A32" s="263">
        <v>1</v>
      </c>
      <c r="B32" s="263" t="s">
        <v>347</v>
      </c>
      <c r="D32" s="266">
        <f>+[1]amort.!H372</f>
        <v>125696</v>
      </c>
      <c r="E32" s="266">
        <f>+[1]amort.!K372</f>
        <v>308624.54333333339</v>
      </c>
      <c r="F32" s="266"/>
      <c r="G32" s="266">
        <f t="shared" si="1"/>
        <v>434320.54333333339</v>
      </c>
    </row>
    <row r="33" spans="1:9">
      <c r="A33" s="263">
        <v>2</v>
      </c>
      <c r="D33" s="266"/>
      <c r="E33" s="266"/>
      <c r="F33" s="266"/>
      <c r="G33" s="266">
        <f t="shared" si="1"/>
        <v>0</v>
      </c>
    </row>
    <row r="34" spans="1:9" ht="15">
      <c r="A34" s="267"/>
      <c r="B34" s="268" t="s">
        <v>183</v>
      </c>
      <c r="C34" s="269"/>
      <c r="D34" s="270">
        <f>SUM(D27:D33)</f>
        <v>31418852</v>
      </c>
      <c r="E34" s="270">
        <f>SUM(E27:E33)</f>
        <v>21608631.240943331</v>
      </c>
      <c r="F34" s="270">
        <f>SUM(F27:F33)</f>
        <v>9204475.1166666672</v>
      </c>
      <c r="G34" s="271">
        <f>SUM(G27:G33)</f>
        <v>43823008.124276675</v>
      </c>
    </row>
    <row r="36" spans="1:9" s="272" customFormat="1" ht="18.75">
      <c r="B36" s="272" t="s">
        <v>349</v>
      </c>
      <c r="I36" s="263"/>
    </row>
    <row r="39" spans="1:9" ht="15">
      <c r="A39" s="264" t="s">
        <v>334</v>
      </c>
      <c r="B39" s="264" t="s">
        <v>118</v>
      </c>
      <c r="C39" s="264" t="s">
        <v>335</v>
      </c>
      <c r="D39" s="264" t="s">
        <v>336</v>
      </c>
      <c r="E39" s="264" t="s">
        <v>337</v>
      </c>
      <c r="F39" s="264" t="s">
        <v>338</v>
      </c>
      <c r="G39" s="264" t="s">
        <v>339</v>
      </c>
    </row>
    <row r="40" spans="1:9" ht="15">
      <c r="A40" s="265"/>
      <c r="B40" s="265"/>
      <c r="C40" s="265"/>
      <c r="D40" s="265" t="s">
        <v>340</v>
      </c>
      <c r="E40" s="265"/>
      <c r="F40" s="265"/>
      <c r="G40" s="265" t="s">
        <v>341</v>
      </c>
    </row>
    <row r="41" spans="1:9">
      <c r="A41" s="263">
        <v>1</v>
      </c>
      <c r="B41" s="263" t="s">
        <v>225</v>
      </c>
      <c r="D41" s="266"/>
      <c r="E41" s="266"/>
      <c r="F41" s="266"/>
      <c r="G41" s="266">
        <f t="shared" ref="G41:G48" si="2">+D41+E41-F41</f>
        <v>0</v>
      </c>
    </row>
    <row r="42" spans="1:9">
      <c r="A42" s="263">
        <v>2</v>
      </c>
      <c r="B42" s="263" t="s">
        <v>342</v>
      </c>
      <c r="D42" s="266">
        <f>+D10</f>
        <v>13533964</v>
      </c>
      <c r="E42" s="266">
        <f>+E10</f>
        <v>659730</v>
      </c>
      <c r="F42" s="266">
        <f>+G28</f>
        <v>5229841.0999999996</v>
      </c>
      <c r="G42" s="266">
        <f>+D42+E42-F42</f>
        <v>8963852.9000000004</v>
      </c>
    </row>
    <row r="43" spans="1:9">
      <c r="B43" s="263" t="s">
        <v>350</v>
      </c>
      <c r="D43" s="266">
        <f>+D11</f>
        <v>56000000</v>
      </c>
      <c r="E43" s="266"/>
      <c r="F43" s="266"/>
      <c r="G43" s="266">
        <f>+D43</f>
        <v>56000000</v>
      </c>
    </row>
    <row r="44" spans="1:9">
      <c r="A44" s="263">
        <v>3</v>
      </c>
      <c r="B44" s="263" t="s">
        <v>344</v>
      </c>
      <c r="D44" s="266">
        <f>+D12</f>
        <v>71269075.793866664</v>
      </c>
      <c r="E44" s="266">
        <f>+E12</f>
        <v>18285543.525000002</v>
      </c>
      <c r="F44" s="266">
        <f>+G29+F12</f>
        <v>47257991.945023336</v>
      </c>
      <c r="G44" s="266">
        <f t="shared" si="2"/>
        <v>42296627.373843335</v>
      </c>
    </row>
    <row r="45" spans="1:9">
      <c r="A45" s="263">
        <v>4</v>
      </c>
      <c r="B45" s="263" t="s">
        <v>345</v>
      </c>
      <c r="D45" s="266">
        <f>+D13</f>
        <v>40416269.596266665</v>
      </c>
      <c r="E45" s="266">
        <f>+E13</f>
        <v>18814272</v>
      </c>
      <c r="F45" s="266">
        <f>+G30+F13</f>
        <v>25945463.785920002</v>
      </c>
      <c r="G45" s="266">
        <f t="shared" si="2"/>
        <v>33285077.810346663</v>
      </c>
    </row>
    <row r="46" spans="1:9">
      <c r="A46" s="263">
        <v>5</v>
      </c>
      <c r="B46" s="263" t="s">
        <v>346</v>
      </c>
      <c r="D46" s="266">
        <f>+D14</f>
        <v>788636</v>
      </c>
      <c r="E46" s="266">
        <f>+E14</f>
        <v>1460769</v>
      </c>
      <c r="F46" s="266">
        <f>+G31</f>
        <v>422488.75</v>
      </c>
      <c r="G46" s="266">
        <f t="shared" si="2"/>
        <v>1826916.25</v>
      </c>
    </row>
    <row r="47" spans="1:9">
      <c r="A47" s="263">
        <v>1</v>
      </c>
      <c r="B47" s="263" t="s">
        <v>347</v>
      </c>
      <c r="D47" s="266">
        <f>+D15</f>
        <v>981723.29999999981</v>
      </c>
      <c r="E47" s="266">
        <f>+E15</f>
        <v>1912583</v>
      </c>
      <c r="F47" s="266">
        <f>+G32</f>
        <v>434320.54333333339</v>
      </c>
      <c r="G47" s="266">
        <f t="shared" si="2"/>
        <v>2459985.7566666664</v>
      </c>
    </row>
    <row r="48" spans="1:9">
      <c r="A48" s="263">
        <v>2</v>
      </c>
      <c r="D48" s="266"/>
      <c r="E48" s="266"/>
      <c r="F48" s="266"/>
      <c r="G48" s="266">
        <f t="shared" si="2"/>
        <v>0</v>
      </c>
    </row>
    <row r="49" spans="1:7">
      <c r="D49" s="266"/>
      <c r="E49" s="266"/>
      <c r="F49" s="266"/>
      <c r="G49" s="266"/>
    </row>
    <row r="50" spans="1:7" ht="15">
      <c r="A50" s="267"/>
      <c r="B50" s="268" t="s">
        <v>183</v>
      </c>
      <c r="C50" s="269"/>
      <c r="D50" s="270">
        <f>SUM(D42:D49)</f>
        <v>182989668.69013333</v>
      </c>
      <c r="E50" s="270">
        <f>SUM(E42:E49)</f>
        <v>41132897.525000006</v>
      </c>
      <c r="F50" s="270">
        <f>SUM(F42:F49)</f>
        <v>79290106.124276683</v>
      </c>
      <c r="G50" s="270">
        <f>SUM(G41:G49)</f>
        <v>144832460.09085667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0"/>
  <sheetViews>
    <sheetView topLeftCell="A37" workbookViewId="0">
      <selection activeCell="J24" sqref="J24"/>
    </sheetView>
  </sheetViews>
  <sheetFormatPr defaultRowHeight="13.5"/>
  <cols>
    <col min="1" max="1" width="6.5703125" style="263" customWidth="1"/>
    <col min="2" max="2" width="35" style="263" customWidth="1"/>
    <col min="3" max="3" width="10.42578125" style="263" customWidth="1"/>
    <col min="4" max="4" width="11.5703125" style="263" customWidth="1"/>
    <col min="5" max="5" width="11.85546875" style="263" customWidth="1"/>
    <col min="6" max="6" width="12.85546875" style="263" customWidth="1"/>
    <col min="7" max="7" width="9.140625" style="263"/>
    <col min="8" max="8" width="12.85546875" style="263" customWidth="1"/>
    <col min="9" max="9" width="9.140625" style="263"/>
    <col min="10" max="10" width="11" style="263" bestFit="1" customWidth="1"/>
    <col min="11" max="256" width="9.140625" style="263"/>
    <col min="257" max="257" width="6.5703125" style="263" customWidth="1"/>
    <col min="258" max="258" width="35" style="263" customWidth="1"/>
    <col min="259" max="259" width="10.42578125" style="263" customWidth="1"/>
    <col min="260" max="260" width="11.5703125" style="263" customWidth="1"/>
    <col min="261" max="261" width="11.85546875" style="263" customWidth="1"/>
    <col min="262" max="262" width="12.85546875" style="263" customWidth="1"/>
    <col min="263" max="263" width="9.140625" style="263"/>
    <col min="264" max="264" width="12.85546875" style="263" customWidth="1"/>
    <col min="265" max="265" width="9.140625" style="263"/>
    <col min="266" max="266" width="11" style="263" bestFit="1" customWidth="1"/>
    <col min="267" max="512" width="9.140625" style="263"/>
    <col min="513" max="513" width="6.5703125" style="263" customWidth="1"/>
    <col min="514" max="514" width="35" style="263" customWidth="1"/>
    <col min="515" max="515" width="10.42578125" style="263" customWidth="1"/>
    <col min="516" max="516" width="11.5703125" style="263" customWidth="1"/>
    <col min="517" max="517" width="11.85546875" style="263" customWidth="1"/>
    <col min="518" max="518" width="12.85546875" style="263" customWidth="1"/>
    <col min="519" max="519" width="9.140625" style="263"/>
    <col min="520" max="520" width="12.85546875" style="263" customWidth="1"/>
    <col min="521" max="521" width="9.140625" style="263"/>
    <col min="522" max="522" width="11" style="263" bestFit="1" customWidth="1"/>
    <col min="523" max="768" width="9.140625" style="263"/>
    <col min="769" max="769" width="6.5703125" style="263" customWidth="1"/>
    <col min="770" max="770" width="35" style="263" customWidth="1"/>
    <col min="771" max="771" width="10.42578125" style="263" customWidth="1"/>
    <col min="772" max="772" width="11.5703125" style="263" customWidth="1"/>
    <col min="773" max="773" width="11.85546875" style="263" customWidth="1"/>
    <col min="774" max="774" width="12.85546875" style="263" customWidth="1"/>
    <col min="775" max="775" width="9.140625" style="263"/>
    <col min="776" max="776" width="12.85546875" style="263" customWidth="1"/>
    <col min="777" max="777" width="9.140625" style="263"/>
    <col min="778" max="778" width="11" style="263" bestFit="1" customWidth="1"/>
    <col min="779" max="1024" width="9.140625" style="263"/>
    <col min="1025" max="1025" width="6.5703125" style="263" customWidth="1"/>
    <col min="1026" max="1026" width="35" style="263" customWidth="1"/>
    <col min="1027" max="1027" width="10.42578125" style="263" customWidth="1"/>
    <col min="1028" max="1028" width="11.5703125" style="263" customWidth="1"/>
    <col min="1029" max="1029" width="11.85546875" style="263" customWidth="1"/>
    <col min="1030" max="1030" width="12.85546875" style="263" customWidth="1"/>
    <col min="1031" max="1031" width="9.140625" style="263"/>
    <col min="1032" max="1032" width="12.85546875" style="263" customWidth="1"/>
    <col min="1033" max="1033" width="9.140625" style="263"/>
    <col min="1034" max="1034" width="11" style="263" bestFit="1" customWidth="1"/>
    <col min="1035" max="1280" width="9.140625" style="263"/>
    <col min="1281" max="1281" width="6.5703125" style="263" customWidth="1"/>
    <col min="1282" max="1282" width="35" style="263" customWidth="1"/>
    <col min="1283" max="1283" width="10.42578125" style="263" customWidth="1"/>
    <col min="1284" max="1284" width="11.5703125" style="263" customWidth="1"/>
    <col min="1285" max="1285" width="11.85546875" style="263" customWidth="1"/>
    <col min="1286" max="1286" width="12.85546875" style="263" customWidth="1"/>
    <col min="1287" max="1287" width="9.140625" style="263"/>
    <col min="1288" max="1288" width="12.85546875" style="263" customWidth="1"/>
    <col min="1289" max="1289" width="9.140625" style="263"/>
    <col min="1290" max="1290" width="11" style="263" bestFit="1" customWidth="1"/>
    <col min="1291" max="1536" width="9.140625" style="263"/>
    <col min="1537" max="1537" width="6.5703125" style="263" customWidth="1"/>
    <col min="1538" max="1538" width="35" style="263" customWidth="1"/>
    <col min="1539" max="1539" width="10.42578125" style="263" customWidth="1"/>
    <col min="1540" max="1540" width="11.5703125" style="263" customWidth="1"/>
    <col min="1541" max="1541" width="11.85546875" style="263" customWidth="1"/>
    <col min="1542" max="1542" width="12.85546875" style="263" customWidth="1"/>
    <col min="1543" max="1543" width="9.140625" style="263"/>
    <col min="1544" max="1544" width="12.85546875" style="263" customWidth="1"/>
    <col min="1545" max="1545" width="9.140625" style="263"/>
    <col min="1546" max="1546" width="11" style="263" bestFit="1" customWidth="1"/>
    <col min="1547" max="1792" width="9.140625" style="263"/>
    <col min="1793" max="1793" width="6.5703125" style="263" customWidth="1"/>
    <col min="1794" max="1794" width="35" style="263" customWidth="1"/>
    <col min="1795" max="1795" width="10.42578125" style="263" customWidth="1"/>
    <col min="1796" max="1796" width="11.5703125" style="263" customWidth="1"/>
    <col min="1797" max="1797" width="11.85546875" style="263" customWidth="1"/>
    <col min="1798" max="1798" width="12.85546875" style="263" customWidth="1"/>
    <col min="1799" max="1799" width="9.140625" style="263"/>
    <col min="1800" max="1800" width="12.85546875" style="263" customWidth="1"/>
    <col min="1801" max="1801" width="9.140625" style="263"/>
    <col min="1802" max="1802" width="11" style="263" bestFit="1" customWidth="1"/>
    <col min="1803" max="2048" width="9.140625" style="263"/>
    <col min="2049" max="2049" width="6.5703125" style="263" customWidth="1"/>
    <col min="2050" max="2050" width="35" style="263" customWidth="1"/>
    <col min="2051" max="2051" width="10.42578125" style="263" customWidth="1"/>
    <col min="2052" max="2052" width="11.5703125" style="263" customWidth="1"/>
    <col min="2053" max="2053" width="11.85546875" style="263" customWidth="1"/>
    <col min="2054" max="2054" width="12.85546875" style="263" customWidth="1"/>
    <col min="2055" max="2055" width="9.140625" style="263"/>
    <col min="2056" max="2056" width="12.85546875" style="263" customWidth="1"/>
    <col min="2057" max="2057" width="9.140625" style="263"/>
    <col min="2058" max="2058" width="11" style="263" bestFit="1" customWidth="1"/>
    <col min="2059" max="2304" width="9.140625" style="263"/>
    <col min="2305" max="2305" width="6.5703125" style="263" customWidth="1"/>
    <col min="2306" max="2306" width="35" style="263" customWidth="1"/>
    <col min="2307" max="2307" width="10.42578125" style="263" customWidth="1"/>
    <col min="2308" max="2308" width="11.5703125" style="263" customWidth="1"/>
    <col min="2309" max="2309" width="11.85546875" style="263" customWidth="1"/>
    <col min="2310" max="2310" width="12.85546875" style="263" customWidth="1"/>
    <col min="2311" max="2311" width="9.140625" style="263"/>
    <col min="2312" max="2312" width="12.85546875" style="263" customWidth="1"/>
    <col min="2313" max="2313" width="9.140625" style="263"/>
    <col min="2314" max="2314" width="11" style="263" bestFit="1" customWidth="1"/>
    <col min="2315" max="2560" width="9.140625" style="263"/>
    <col min="2561" max="2561" width="6.5703125" style="263" customWidth="1"/>
    <col min="2562" max="2562" width="35" style="263" customWidth="1"/>
    <col min="2563" max="2563" width="10.42578125" style="263" customWidth="1"/>
    <col min="2564" max="2564" width="11.5703125" style="263" customWidth="1"/>
    <col min="2565" max="2565" width="11.85546875" style="263" customWidth="1"/>
    <col min="2566" max="2566" width="12.85546875" style="263" customWidth="1"/>
    <col min="2567" max="2567" width="9.140625" style="263"/>
    <col min="2568" max="2568" width="12.85546875" style="263" customWidth="1"/>
    <col min="2569" max="2569" width="9.140625" style="263"/>
    <col min="2570" max="2570" width="11" style="263" bestFit="1" customWidth="1"/>
    <col min="2571" max="2816" width="9.140625" style="263"/>
    <col min="2817" max="2817" width="6.5703125" style="263" customWidth="1"/>
    <col min="2818" max="2818" width="35" style="263" customWidth="1"/>
    <col min="2819" max="2819" width="10.42578125" style="263" customWidth="1"/>
    <col min="2820" max="2820" width="11.5703125" style="263" customWidth="1"/>
    <col min="2821" max="2821" width="11.85546875" style="263" customWidth="1"/>
    <col min="2822" max="2822" width="12.85546875" style="263" customWidth="1"/>
    <col min="2823" max="2823" width="9.140625" style="263"/>
    <col min="2824" max="2824" width="12.85546875" style="263" customWidth="1"/>
    <col min="2825" max="2825" width="9.140625" style="263"/>
    <col min="2826" max="2826" width="11" style="263" bestFit="1" customWidth="1"/>
    <col min="2827" max="3072" width="9.140625" style="263"/>
    <col min="3073" max="3073" width="6.5703125" style="263" customWidth="1"/>
    <col min="3074" max="3074" width="35" style="263" customWidth="1"/>
    <col min="3075" max="3075" width="10.42578125" style="263" customWidth="1"/>
    <col min="3076" max="3076" width="11.5703125" style="263" customWidth="1"/>
    <col min="3077" max="3077" width="11.85546875" style="263" customWidth="1"/>
    <col min="3078" max="3078" width="12.85546875" style="263" customWidth="1"/>
    <col min="3079" max="3079" width="9.140625" style="263"/>
    <col min="3080" max="3080" width="12.85546875" style="263" customWidth="1"/>
    <col min="3081" max="3081" width="9.140625" style="263"/>
    <col min="3082" max="3082" width="11" style="263" bestFit="1" customWidth="1"/>
    <col min="3083" max="3328" width="9.140625" style="263"/>
    <col min="3329" max="3329" width="6.5703125" style="263" customWidth="1"/>
    <col min="3330" max="3330" width="35" style="263" customWidth="1"/>
    <col min="3331" max="3331" width="10.42578125" style="263" customWidth="1"/>
    <col min="3332" max="3332" width="11.5703125" style="263" customWidth="1"/>
    <col min="3333" max="3333" width="11.85546875" style="263" customWidth="1"/>
    <col min="3334" max="3334" width="12.85546875" style="263" customWidth="1"/>
    <col min="3335" max="3335" width="9.140625" style="263"/>
    <col min="3336" max="3336" width="12.85546875" style="263" customWidth="1"/>
    <col min="3337" max="3337" width="9.140625" style="263"/>
    <col min="3338" max="3338" width="11" style="263" bestFit="1" customWidth="1"/>
    <col min="3339" max="3584" width="9.140625" style="263"/>
    <col min="3585" max="3585" width="6.5703125" style="263" customWidth="1"/>
    <col min="3586" max="3586" width="35" style="263" customWidth="1"/>
    <col min="3587" max="3587" width="10.42578125" style="263" customWidth="1"/>
    <col min="3588" max="3588" width="11.5703125" style="263" customWidth="1"/>
    <col min="3589" max="3589" width="11.85546875" style="263" customWidth="1"/>
    <col min="3590" max="3590" width="12.85546875" style="263" customWidth="1"/>
    <col min="3591" max="3591" width="9.140625" style="263"/>
    <col min="3592" max="3592" width="12.85546875" style="263" customWidth="1"/>
    <col min="3593" max="3593" width="9.140625" style="263"/>
    <col min="3594" max="3594" width="11" style="263" bestFit="1" customWidth="1"/>
    <col min="3595" max="3840" width="9.140625" style="263"/>
    <col min="3841" max="3841" width="6.5703125" style="263" customWidth="1"/>
    <col min="3842" max="3842" width="35" style="263" customWidth="1"/>
    <col min="3843" max="3843" width="10.42578125" style="263" customWidth="1"/>
    <col min="3844" max="3844" width="11.5703125" style="263" customWidth="1"/>
    <col min="3845" max="3845" width="11.85546875" style="263" customWidth="1"/>
    <col min="3846" max="3846" width="12.85546875" style="263" customWidth="1"/>
    <col min="3847" max="3847" width="9.140625" style="263"/>
    <col min="3848" max="3848" width="12.85546875" style="263" customWidth="1"/>
    <col min="3849" max="3849" width="9.140625" style="263"/>
    <col min="3850" max="3850" width="11" style="263" bestFit="1" customWidth="1"/>
    <col min="3851" max="4096" width="9.140625" style="263"/>
    <col min="4097" max="4097" width="6.5703125" style="263" customWidth="1"/>
    <col min="4098" max="4098" width="35" style="263" customWidth="1"/>
    <col min="4099" max="4099" width="10.42578125" style="263" customWidth="1"/>
    <col min="4100" max="4100" width="11.5703125" style="263" customWidth="1"/>
    <col min="4101" max="4101" width="11.85546875" style="263" customWidth="1"/>
    <col min="4102" max="4102" width="12.85546875" style="263" customWidth="1"/>
    <col min="4103" max="4103" width="9.140625" style="263"/>
    <col min="4104" max="4104" width="12.85546875" style="263" customWidth="1"/>
    <col min="4105" max="4105" width="9.140625" style="263"/>
    <col min="4106" max="4106" width="11" style="263" bestFit="1" customWidth="1"/>
    <col min="4107" max="4352" width="9.140625" style="263"/>
    <col min="4353" max="4353" width="6.5703125" style="263" customWidth="1"/>
    <col min="4354" max="4354" width="35" style="263" customWidth="1"/>
    <col min="4355" max="4355" width="10.42578125" style="263" customWidth="1"/>
    <col min="4356" max="4356" width="11.5703125" style="263" customWidth="1"/>
    <col min="4357" max="4357" width="11.85546875" style="263" customWidth="1"/>
    <col min="4358" max="4358" width="12.85546875" style="263" customWidth="1"/>
    <col min="4359" max="4359" width="9.140625" style="263"/>
    <col min="4360" max="4360" width="12.85546875" style="263" customWidth="1"/>
    <col min="4361" max="4361" width="9.140625" style="263"/>
    <col min="4362" max="4362" width="11" style="263" bestFit="1" customWidth="1"/>
    <col min="4363" max="4608" width="9.140625" style="263"/>
    <col min="4609" max="4609" width="6.5703125" style="263" customWidth="1"/>
    <col min="4610" max="4610" width="35" style="263" customWidth="1"/>
    <col min="4611" max="4611" width="10.42578125" style="263" customWidth="1"/>
    <col min="4612" max="4612" width="11.5703125" style="263" customWidth="1"/>
    <col min="4613" max="4613" width="11.85546875" style="263" customWidth="1"/>
    <col min="4614" max="4614" width="12.85546875" style="263" customWidth="1"/>
    <col min="4615" max="4615" width="9.140625" style="263"/>
    <col min="4616" max="4616" width="12.85546875" style="263" customWidth="1"/>
    <col min="4617" max="4617" width="9.140625" style="263"/>
    <col min="4618" max="4618" width="11" style="263" bestFit="1" customWidth="1"/>
    <col min="4619" max="4864" width="9.140625" style="263"/>
    <col min="4865" max="4865" width="6.5703125" style="263" customWidth="1"/>
    <col min="4866" max="4866" width="35" style="263" customWidth="1"/>
    <col min="4867" max="4867" width="10.42578125" style="263" customWidth="1"/>
    <col min="4868" max="4868" width="11.5703125" style="263" customWidth="1"/>
    <col min="4869" max="4869" width="11.85546875" style="263" customWidth="1"/>
    <col min="4870" max="4870" width="12.85546875" style="263" customWidth="1"/>
    <col min="4871" max="4871" width="9.140625" style="263"/>
    <col min="4872" max="4872" width="12.85546875" style="263" customWidth="1"/>
    <col min="4873" max="4873" width="9.140625" style="263"/>
    <col min="4874" max="4874" width="11" style="263" bestFit="1" customWidth="1"/>
    <col min="4875" max="5120" width="9.140625" style="263"/>
    <col min="5121" max="5121" width="6.5703125" style="263" customWidth="1"/>
    <col min="5122" max="5122" width="35" style="263" customWidth="1"/>
    <col min="5123" max="5123" width="10.42578125" style="263" customWidth="1"/>
    <col min="5124" max="5124" width="11.5703125" style="263" customWidth="1"/>
    <col min="5125" max="5125" width="11.85546875" style="263" customWidth="1"/>
    <col min="5126" max="5126" width="12.85546875" style="263" customWidth="1"/>
    <col min="5127" max="5127" width="9.140625" style="263"/>
    <col min="5128" max="5128" width="12.85546875" style="263" customWidth="1"/>
    <col min="5129" max="5129" width="9.140625" style="263"/>
    <col min="5130" max="5130" width="11" style="263" bestFit="1" customWidth="1"/>
    <col min="5131" max="5376" width="9.140625" style="263"/>
    <col min="5377" max="5377" width="6.5703125" style="263" customWidth="1"/>
    <col min="5378" max="5378" width="35" style="263" customWidth="1"/>
    <col min="5379" max="5379" width="10.42578125" style="263" customWidth="1"/>
    <col min="5380" max="5380" width="11.5703125" style="263" customWidth="1"/>
    <col min="5381" max="5381" width="11.85546875" style="263" customWidth="1"/>
    <col min="5382" max="5382" width="12.85546875" style="263" customWidth="1"/>
    <col min="5383" max="5383" width="9.140625" style="263"/>
    <col min="5384" max="5384" width="12.85546875" style="263" customWidth="1"/>
    <col min="5385" max="5385" width="9.140625" style="263"/>
    <col min="5386" max="5386" width="11" style="263" bestFit="1" customWidth="1"/>
    <col min="5387" max="5632" width="9.140625" style="263"/>
    <col min="5633" max="5633" width="6.5703125" style="263" customWidth="1"/>
    <col min="5634" max="5634" width="35" style="263" customWidth="1"/>
    <col min="5635" max="5635" width="10.42578125" style="263" customWidth="1"/>
    <col min="5636" max="5636" width="11.5703125" style="263" customWidth="1"/>
    <col min="5637" max="5637" width="11.85546875" style="263" customWidth="1"/>
    <col min="5638" max="5638" width="12.85546875" style="263" customWidth="1"/>
    <col min="5639" max="5639" width="9.140625" style="263"/>
    <col min="5640" max="5640" width="12.85546875" style="263" customWidth="1"/>
    <col min="5641" max="5641" width="9.140625" style="263"/>
    <col min="5642" max="5642" width="11" style="263" bestFit="1" customWidth="1"/>
    <col min="5643" max="5888" width="9.140625" style="263"/>
    <col min="5889" max="5889" width="6.5703125" style="263" customWidth="1"/>
    <col min="5890" max="5890" width="35" style="263" customWidth="1"/>
    <col min="5891" max="5891" width="10.42578125" style="263" customWidth="1"/>
    <col min="5892" max="5892" width="11.5703125" style="263" customWidth="1"/>
    <col min="5893" max="5893" width="11.85546875" style="263" customWidth="1"/>
    <col min="5894" max="5894" width="12.85546875" style="263" customWidth="1"/>
    <col min="5895" max="5895" width="9.140625" style="263"/>
    <col min="5896" max="5896" width="12.85546875" style="263" customWidth="1"/>
    <col min="5897" max="5897" width="9.140625" style="263"/>
    <col min="5898" max="5898" width="11" style="263" bestFit="1" customWidth="1"/>
    <col min="5899" max="6144" width="9.140625" style="263"/>
    <col min="6145" max="6145" width="6.5703125" style="263" customWidth="1"/>
    <col min="6146" max="6146" width="35" style="263" customWidth="1"/>
    <col min="6147" max="6147" width="10.42578125" style="263" customWidth="1"/>
    <col min="6148" max="6148" width="11.5703125" style="263" customWidth="1"/>
    <col min="6149" max="6149" width="11.85546875" style="263" customWidth="1"/>
    <col min="6150" max="6150" width="12.85546875" style="263" customWidth="1"/>
    <col min="6151" max="6151" width="9.140625" style="263"/>
    <col min="6152" max="6152" width="12.85546875" style="263" customWidth="1"/>
    <col min="6153" max="6153" width="9.140625" style="263"/>
    <col min="6154" max="6154" width="11" style="263" bestFit="1" customWidth="1"/>
    <col min="6155" max="6400" width="9.140625" style="263"/>
    <col min="6401" max="6401" width="6.5703125" style="263" customWidth="1"/>
    <col min="6402" max="6402" width="35" style="263" customWidth="1"/>
    <col min="6403" max="6403" width="10.42578125" style="263" customWidth="1"/>
    <col min="6404" max="6404" width="11.5703125" style="263" customWidth="1"/>
    <col min="6405" max="6405" width="11.85546875" style="263" customWidth="1"/>
    <col min="6406" max="6406" width="12.85546875" style="263" customWidth="1"/>
    <col min="6407" max="6407" width="9.140625" style="263"/>
    <col min="6408" max="6408" width="12.85546875" style="263" customWidth="1"/>
    <col min="6409" max="6409" width="9.140625" style="263"/>
    <col min="6410" max="6410" width="11" style="263" bestFit="1" customWidth="1"/>
    <col min="6411" max="6656" width="9.140625" style="263"/>
    <col min="6657" max="6657" width="6.5703125" style="263" customWidth="1"/>
    <col min="6658" max="6658" width="35" style="263" customWidth="1"/>
    <col min="6659" max="6659" width="10.42578125" style="263" customWidth="1"/>
    <col min="6660" max="6660" width="11.5703125" style="263" customWidth="1"/>
    <col min="6661" max="6661" width="11.85546875" style="263" customWidth="1"/>
    <col min="6662" max="6662" width="12.85546875" style="263" customWidth="1"/>
    <col min="6663" max="6663" width="9.140625" style="263"/>
    <col min="6664" max="6664" width="12.85546875" style="263" customWidth="1"/>
    <col min="6665" max="6665" width="9.140625" style="263"/>
    <col min="6666" max="6666" width="11" style="263" bestFit="1" customWidth="1"/>
    <col min="6667" max="6912" width="9.140625" style="263"/>
    <col min="6913" max="6913" width="6.5703125" style="263" customWidth="1"/>
    <col min="6914" max="6914" width="35" style="263" customWidth="1"/>
    <col min="6915" max="6915" width="10.42578125" style="263" customWidth="1"/>
    <col min="6916" max="6916" width="11.5703125" style="263" customWidth="1"/>
    <col min="6917" max="6917" width="11.85546875" style="263" customWidth="1"/>
    <col min="6918" max="6918" width="12.85546875" style="263" customWidth="1"/>
    <col min="6919" max="6919" width="9.140625" style="263"/>
    <col min="6920" max="6920" width="12.85546875" style="263" customWidth="1"/>
    <col min="6921" max="6921" width="9.140625" style="263"/>
    <col min="6922" max="6922" width="11" style="263" bestFit="1" customWidth="1"/>
    <col min="6923" max="7168" width="9.140625" style="263"/>
    <col min="7169" max="7169" width="6.5703125" style="263" customWidth="1"/>
    <col min="7170" max="7170" width="35" style="263" customWidth="1"/>
    <col min="7171" max="7171" width="10.42578125" style="263" customWidth="1"/>
    <col min="7172" max="7172" width="11.5703125" style="263" customWidth="1"/>
    <col min="7173" max="7173" width="11.85546875" style="263" customWidth="1"/>
    <col min="7174" max="7174" width="12.85546875" style="263" customWidth="1"/>
    <col min="7175" max="7175" width="9.140625" style="263"/>
    <col min="7176" max="7176" width="12.85546875" style="263" customWidth="1"/>
    <col min="7177" max="7177" width="9.140625" style="263"/>
    <col min="7178" max="7178" width="11" style="263" bestFit="1" customWidth="1"/>
    <col min="7179" max="7424" width="9.140625" style="263"/>
    <col min="7425" max="7425" width="6.5703125" style="263" customWidth="1"/>
    <col min="7426" max="7426" width="35" style="263" customWidth="1"/>
    <col min="7427" max="7427" width="10.42578125" style="263" customWidth="1"/>
    <col min="7428" max="7428" width="11.5703125" style="263" customWidth="1"/>
    <col min="7429" max="7429" width="11.85546875" style="263" customWidth="1"/>
    <col min="7430" max="7430" width="12.85546875" style="263" customWidth="1"/>
    <col min="7431" max="7431" width="9.140625" style="263"/>
    <col min="7432" max="7432" width="12.85546875" style="263" customWidth="1"/>
    <col min="7433" max="7433" width="9.140625" style="263"/>
    <col min="7434" max="7434" width="11" style="263" bestFit="1" customWidth="1"/>
    <col min="7435" max="7680" width="9.140625" style="263"/>
    <col min="7681" max="7681" width="6.5703125" style="263" customWidth="1"/>
    <col min="7682" max="7682" width="35" style="263" customWidth="1"/>
    <col min="7683" max="7683" width="10.42578125" style="263" customWidth="1"/>
    <col min="7684" max="7684" width="11.5703125" style="263" customWidth="1"/>
    <col min="7685" max="7685" width="11.85546875" style="263" customWidth="1"/>
    <col min="7686" max="7686" width="12.85546875" style="263" customWidth="1"/>
    <col min="7687" max="7687" width="9.140625" style="263"/>
    <col min="7688" max="7688" width="12.85546875" style="263" customWidth="1"/>
    <col min="7689" max="7689" width="9.140625" style="263"/>
    <col min="7690" max="7690" width="11" style="263" bestFit="1" customWidth="1"/>
    <col min="7691" max="7936" width="9.140625" style="263"/>
    <col min="7937" max="7937" width="6.5703125" style="263" customWidth="1"/>
    <col min="7938" max="7938" width="35" style="263" customWidth="1"/>
    <col min="7939" max="7939" width="10.42578125" style="263" customWidth="1"/>
    <col min="7940" max="7940" width="11.5703125" style="263" customWidth="1"/>
    <col min="7941" max="7941" width="11.85546875" style="263" customWidth="1"/>
    <col min="7942" max="7942" width="12.85546875" style="263" customWidth="1"/>
    <col min="7943" max="7943" width="9.140625" style="263"/>
    <col min="7944" max="7944" width="12.85546875" style="263" customWidth="1"/>
    <col min="7945" max="7945" width="9.140625" style="263"/>
    <col min="7946" max="7946" width="11" style="263" bestFit="1" customWidth="1"/>
    <col min="7947" max="8192" width="9.140625" style="263"/>
    <col min="8193" max="8193" width="6.5703125" style="263" customWidth="1"/>
    <col min="8194" max="8194" width="35" style="263" customWidth="1"/>
    <col min="8195" max="8195" width="10.42578125" style="263" customWidth="1"/>
    <col min="8196" max="8196" width="11.5703125" style="263" customWidth="1"/>
    <col min="8197" max="8197" width="11.85546875" style="263" customWidth="1"/>
    <col min="8198" max="8198" width="12.85546875" style="263" customWidth="1"/>
    <col min="8199" max="8199" width="9.140625" style="263"/>
    <col min="8200" max="8200" width="12.85546875" style="263" customWidth="1"/>
    <col min="8201" max="8201" width="9.140625" style="263"/>
    <col min="8202" max="8202" width="11" style="263" bestFit="1" customWidth="1"/>
    <col min="8203" max="8448" width="9.140625" style="263"/>
    <col min="8449" max="8449" width="6.5703125" style="263" customWidth="1"/>
    <col min="8450" max="8450" width="35" style="263" customWidth="1"/>
    <col min="8451" max="8451" width="10.42578125" style="263" customWidth="1"/>
    <col min="8452" max="8452" width="11.5703125" style="263" customWidth="1"/>
    <col min="8453" max="8453" width="11.85546875" style="263" customWidth="1"/>
    <col min="8454" max="8454" width="12.85546875" style="263" customWidth="1"/>
    <col min="8455" max="8455" width="9.140625" style="263"/>
    <col min="8456" max="8456" width="12.85546875" style="263" customWidth="1"/>
    <col min="8457" max="8457" width="9.140625" style="263"/>
    <col min="8458" max="8458" width="11" style="263" bestFit="1" customWidth="1"/>
    <col min="8459" max="8704" width="9.140625" style="263"/>
    <col min="8705" max="8705" width="6.5703125" style="263" customWidth="1"/>
    <col min="8706" max="8706" width="35" style="263" customWidth="1"/>
    <col min="8707" max="8707" width="10.42578125" style="263" customWidth="1"/>
    <col min="8708" max="8708" width="11.5703125" style="263" customWidth="1"/>
    <col min="8709" max="8709" width="11.85546875" style="263" customWidth="1"/>
    <col min="8710" max="8710" width="12.85546875" style="263" customWidth="1"/>
    <col min="8711" max="8711" width="9.140625" style="263"/>
    <col min="8712" max="8712" width="12.85546875" style="263" customWidth="1"/>
    <col min="8713" max="8713" width="9.140625" style="263"/>
    <col min="8714" max="8714" width="11" style="263" bestFit="1" customWidth="1"/>
    <col min="8715" max="8960" width="9.140625" style="263"/>
    <col min="8961" max="8961" width="6.5703125" style="263" customWidth="1"/>
    <col min="8962" max="8962" width="35" style="263" customWidth="1"/>
    <col min="8963" max="8963" width="10.42578125" style="263" customWidth="1"/>
    <col min="8964" max="8964" width="11.5703125" style="263" customWidth="1"/>
    <col min="8965" max="8965" width="11.85546875" style="263" customWidth="1"/>
    <col min="8966" max="8966" width="12.85546875" style="263" customWidth="1"/>
    <col min="8967" max="8967" width="9.140625" style="263"/>
    <col min="8968" max="8968" width="12.85546875" style="263" customWidth="1"/>
    <col min="8969" max="8969" width="9.140625" style="263"/>
    <col min="8970" max="8970" width="11" style="263" bestFit="1" customWidth="1"/>
    <col min="8971" max="9216" width="9.140625" style="263"/>
    <col min="9217" max="9217" width="6.5703125" style="263" customWidth="1"/>
    <col min="9218" max="9218" width="35" style="263" customWidth="1"/>
    <col min="9219" max="9219" width="10.42578125" style="263" customWidth="1"/>
    <col min="9220" max="9220" width="11.5703125" style="263" customWidth="1"/>
    <col min="9221" max="9221" width="11.85546875" style="263" customWidth="1"/>
    <col min="9222" max="9222" width="12.85546875" style="263" customWidth="1"/>
    <col min="9223" max="9223" width="9.140625" style="263"/>
    <col min="9224" max="9224" width="12.85546875" style="263" customWidth="1"/>
    <col min="9225" max="9225" width="9.140625" style="263"/>
    <col min="9226" max="9226" width="11" style="263" bestFit="1" customWidth="1"/>
    <col min="9227" max="9472" width="9.140625" style="263"/>
    <col min="9473" max="9473" width="6.5703125" style="263" customWidth="1"/>
    <col min="9474" max="9474" width="35" style="263" customWidth="1"/>
    <col min="9475" max="9475" width="10.42578125" style="263" customWidth="1"/>
    <col min="9476" max="9476" width="11.5703125" style="263" customWidth="1"/>
    <col min="9477" max="9477" width="11.85546875" style="263" customWidth="1"/>
    <col min="9478" max="9478" width="12.85546875" style="263" customWidth="1"/>
    <col min="9479" max="9479" width="9.140625" style="263"/>
    <col min="9480" max="9480" width="12.85546875" style="263" customWidth="1"/>
    <col min="9481" max="9481" width="9.140625" style="263"/>
    <col min="9482" max="9482" width="11" style="263" bestFit="1" customWidth="1"/>
    <col min="9483" max="9728" width="9.140625" style="263"/>
    <col min="9729" max="9729" width="6.5703125" style="263" customWidth="1"/>
    <col min="9730" max="9730" width="35" style="263" customWidth="1"/>
    <col min="9731" max="9731" width="10.42578125" style="263" customWidth="1"/>
    <col min="9732" max="9732" width="11.5703125" style="263" customWidth="1"/>
    <col min="9733" max="9733" width="11.85546875" style="263" customWidth="1"/>
    <col min="9734" max="9734" width="12.85546875" style="263" customWidth="1"/>
    <col min="9735" max="9735" width="9.140625" style="263"/>
    <col min="9736" max="9736" width="12.85546875" style="263" customWidth="1"/>
    <col min="9737" max="9737" width="9.140625" style="263"/>
    <col min="9738" max="9738" width="11" style="263" bestFit="1" customWidth="1"/>
    <col min="9739" max="9984" width="9.140625" style="263"/>
    <col min="9985" max="9985" width="6.5703125" style="263" customWidth="1"/>
    <col min="9986" max="9986" width="35" style="263" customWidth="1"/>
    <col min="9987" max="9987" width="10.42578125" style="263" customWidth="1"/>
    <col min="9988" max="9988" width="11.5703125" style="263" customWidth="1"/>
    <col min="9989" max="9989" width="11.85546875" style="263" customWidth="1"/>
    <col min="9990" max="9990" width="12.85546875" style="263" customWidth="1"/>
    <col min="9991" max="9991" width="9.140625" style="263"/>
    <col min="9992" max="9992" width="12.85546875" style="263" customWidth="1"/>
    <col min="9993" max="9993" width="9.140625" style="263"/>
    <col min="9994" max="9994" width="11" style="263" bestFit="1" customWidth="1"/>
    <col min="9995" max="10240" width="9.140625" style="263"/>
    <col min="10241" max="10241" width="6.5703125" style="263" customWidth="1"/>
    <col min="10242" max="10242" width="35" style="263" customWidth="1"/>
    <col min="10243" max="10243" width="10.42578125" style="263" customWidth="1"/>
    <col min="10244" max="10244" width="11.5703125" style="263" customWidth="1"/>
    <col min="10245" max="10245" width="11.85546875" style="263" customWidth="1"/>
    <col min="10246" max="10246" width="12.85546875" style="263" customWidth="1"/>
    <col min="10247" max="10247" width="9.140625" style="263"/>
    <col min="10248" max="10248" width="12.85546875" style="263" customWidth="1"/>
    <col min="10249" max="10249" width="9.140625" style="263"/>
    <col min="10250" max="10250" width="11" style="263" bestFit="1" customWidth="1"/>
    <col min="10251" max="10496" width="9.140625" style="263"/>
    <col min="10497" max="10497" width="6.5703125" style="263" customWidth="1"/>
    <col min="10498" max="10498" width="35" style="263" customWidth="1"/>
    <col min="10499" max="10499" width="10.42578125" style="263" customWidth="1"/>
    <col min="10500" max="10500" width="11.5703125" style="263" customWidth="1"/>
    <col min="10501" max="10501" width="11.85546875" style="263" customWidth="1"/>
    <col min="10502" max="10502" width="12.85546875" style="263" customWidth="1"/>
    <col min="10503" max="10503" width="9.140625" style="263"/>
    <col min="10504" max="10504" width="12.85546875" style="263" customWidth="1"/>
    <col min="10505" max="10505" width="9.140625" style="263"/>
    <col min="10506" max="10506" width="11" style="263" bestFit="1" customWidth="1"/>
    <col min="10507" max="10752" width="9.140625" style="263"/>
    <col min="10753" max="10753" width="6.5703125" style="263" customWidth="1"/>
    <col min="10754" max="10754" width="35" style="263" customWidth="1"/>
    <col min="10755" max="10755" width="10.42578125" style="263" customWidth="1"/>
    <col min="10756" max="10756" width="11.5703125" style="263" customWidth="1"/>
    <col min="10757" max="10757" width="11.85546875" style="263" customWidth="1"/>
    <col min="10758" max="10758" width="12.85546875" style="263" customWidth="1"/>
    <col min="10759" max="10759" width="9.140625" style="263"/>
    <col min="10760" max="10760" width="12.85546875" style="263" customWidth="1"/>
    <col min="10761" max="10761" width="9.140625" style="263"/>
    <col min="10762" max="10762" width="11" style="263" bestFit="1" customWidth="1"/>
    <col min="10763" max="11008" width="9.140625" style="263"/>
    <col min="11009" max="11009" width="6.5703125" style="263" customWidth="1"/>
    <col min="11010" max="11010" width="35" style="263" customWidth="1"/>
    <col min="11011" max="11011" width="10.42578125" style="263" customWidth="1"/>
    <col min="11012" max="11012" width="11.5703125" style="263" customWidth="1"/>
    <col min="11013" max="11013" width="11.85546875" style="263" customWidth="1"/>
    <col min="11014" max="11014" width="12.85546875" style="263" customWidth="1"/>
    <col min="11015" max="11015" width="9.140625" style="263"/>
    <col min="11016" max="11016" width="12.85546875" style="263" customWidth="1"/>
    <col min="11017" max="11017" width="9.140625" style="263"/>
    <col min="11018" max="11018" width="11" style="263" bestFit="1" customWidth="1"/>
    <col min="11019" max="11264" width="9.140625" style="263"/>
    <col min="11265" max="11265" width="6.5703125" style="263" customWidth="1"/>
    <col min="11266" max="11266" width="35" style="263" customWidth="1"/>
    <col min="11267" max="11267" width="10.42578125" style="263" customWidth="1"/>
    <col min="11268" max="11268" width="11.5703125" style="263" customWidth="1"/>
    <col min="11269" max="11269" width="11.85546875" style="263" customWidth="1"/>
    <col min="11270" max="11270" width="12.85546875" style="263" customWidth="1"/>
    <col min="11271" max="11271" width="9.140625" style="263"/>
    <col min="11272" max="11272" width="12.85546875" style="263" customWidth="1"/>
    <col min="11273" max="11273" width="9.140625" style="263"/>
    <col min="11274" max="11274" width="11" style="263" bestFit="1" customWidth="1"/>
    <col min="11275" max="11520" width="9.140625" style="263"/>
    <col min="11521" max="11521" width="6.5703125" style="263" customWidth="1"/>
    <col min="11522" max="11522" width="35" style="263" customWidth="1"/>
    <col min="11523" max="11523" width="10.42578125" style="263" customWidth="1"/>
    <col min="11524" max="11524" width="11.5703125" style="263" customWidth="1"/>
    <col min="11525" max="11525" width="11.85546875" style="263" customWidth="1"/>
    <col min="11526" max="11526" width="12.85546875" style="263" customWidth="1"/>
    <col min="11527" max="11527" width="9.140625" style="263"/>
    <col min="11528" max="11528" width="12.85546875" style="263" customWidth="1"/>
    <col min="11529" max="11529" width="9.140625" style="263"/>
    <col min="11530" max="11530" width="11" style="263" bestFit="1" customWidth="1"/>
    <col min="11531" max="11776" width="9.140625" style="263"/>
    <col min="11777" max="11777" width="6.5703125" style="263" customWidth="1"/>
    <col min="11778" max="11778" width="35" style="263" customWidth="1"/>
    <col min="11779" max="11779" width="10.42578125" style="263" customWidth="1"/>
    <col min="11780" max="11780" width="11.5703125" style="263" customWidth="1"/>
    <col min="11781" max="11781" width="11.85546875" style="263" customWidth="1"/>
    <col min="11782" max="11782" width="12.85546875" style="263" customWidth="1"/>
    <col min="11783" max="11783" width="9.140625" style="263"/>
    <col min="11784" max="11784" width="12.85546875" style="263" customWidth="1"/>
    <col min="11785" max="11785" width="9.140625" style="263"/>
    <col min="11786" max="11786" width="11" style="263" bestFit="1" customWidth="1"/>
    <col min="11787" max="12032" width="9.140625" style="263"/>
    <col min="12033" max="12033" width="6.5703125" style="263" customWidth="1"/>
    <col min="12034" max="12034" width="35" style="263" customWidth="1"/>
    <col min="12035" max="12035" width="10.42578125" style="263" customWidth="1"/>
    <col min="12036" max="12036" width="11.5703125" style="263" customWidth="1"/>
    <col min="12037" max="12037" width="11.85546875" style="263" customWidth="1"/>
    <col min="12038" max="12038" width="12.85546875" style="263" customWidth="1"/>
    <col min="12039" max="12039" width="9.140625" style="263"/>
    <col min="12040" max="12040" width="12.85546875" style="263" customWidth="1"/>
    <col min="12041" max="12041" width="9.140625" style="263"/>
    <col min="12042" max="12042" width="11" style="263" bestFit="1" customWidth="1"/>
    <col min="12043" max="12288" width="9.140625" style="263"/>
    <col min="12289" max="12289" width="6.5703125" style="263" customWidth="1"/>
    <col min="12290" max="12290" width="35" style="263" customWidth="1"/>
    <col min="12291" max="12291" width="10.42578125" style="263" customWidth="1"/>
    <col min="12292" max="12292" width="11.5703125" style="263" customWidth="1"/>
    <col min="12293" max="12293" width="11.85546875" style="263" customWidth="1"/>
    <col min="12294" max="12294" width="12.85546875" style="263" customWidth="1"/>
    <col min="12295" max="12295" width="9.140625" style="263"/>
    <col min="12296" max="12296" width="12.85546875" style="263" customWidth="1"/>
    <col min="12297" max="12297" width="9.140625" style="263"/>
    <col min="12298" max="12298" width="11" style="263" bestFit="1" customWidth="1"/>
    <col min="12299" max="12544" width="9.140625" style="263"/>
    <col min="12545" max="12545" width="6.5703125" style="263" customWidth="1"/>
    <col min="12546" max="12546" width="35" style="263" customWidth="1"/>
    <col min="12547" max="12547" width="10.42578125" style="263" customWidth="1"/>
    <col min="12548" max="12548" width="11.5703125" style="263" customWidth="1"/>
    <col min="12549" max="12549" width="11.85546875" style="263" customWidth="1"/>
    <col min="12550" max="12550" width="12.85546875" style="263" customWidth="1"/>
    <col min="12551" max="12551" width="9.140625" style="263"/>
    <col min="12552" max="12552" width="12.85546875" style="263" customWidth="1"/>
    <col min="12553" max="12553" width="9.140625" style="263"/>
    <col min="12554" max="12554" width="11" style="263" bestFit="1" customWidth="1"/>
    <col min="12555" max="12800" width="9.140625" style="263"/>
    <col min="12801" max="12801" width="6.5703125" style="263" customWidth="1"/>
    <col min="12802" max="12802" width="35" style="263" customWidth="1"/>
    <col min="12803" max="12803" width="10.42578125" style="263" customWidth="1"/>
    <col min="12804" max="12804" width="11.5703125" style="263" customWidth="1"/>
    <col min="12805" max="12805" width="11.85546875" style="263" customWidth="1"/>
    <col min="12806" max="12806" width="12.85546875" style="263" customWidth="1"/>
    <col min="12807" max="12807" width="9.140625" style="263"/>
    <col min="12808" max="12808" width="12.85546875" style="263" customWidth="1"/>
    <col min="12809" max="12809" width="9.140625" style="263"/>
    <col min="12810" max="12810" width="11" style="263" bestFit="1" customWidth="1"/>
    <col min="12811" max="13056" width="9.140625" style="263"/>
    <col min="13057" max="13057" width="6.5703125" style="263" customWidth="1"/>
    <col min="13058" max="13058" width="35" style="263" customWidth="1"/>
    <col min="13059" max="13059" width="10.42578125" style="263" customWidth="1"/>
    <col min="13060" max="13060" width="11.5703125" style="263" customWidth="1"/>
    <col min="13061" max="13061" width="11.85546875" style="263" customWidth="1"/>
    <col min="13062" max="13062" width="12.85546875" style="263" customWidth="1"/>
    <col min="13063" max="13063" width="9.140625" style="263"/>
    <col min="13064" max="13064" width="12.85546875" style="263" customWidth="1"/>
    <col min="13065" max="13065" width="9.140625" style="263"/>
    <col min="13066" max="13066" width="11" style="263" bestFit="1" customWidth="1"/>
    <col min="13067" max="13312" width="9.140625" style="263"/>
    <col min="13313" max="13313" width="6.5703125" style="263" customWidth="1"/>
    <col min="13314" max="13314" width="35" style="263" customWidth="1"/>
    <col min="13315" max="13315" width="10.42578125" style="263" customWidth="1"/>
    <col min="13316" max="13316" width="11.5703125" style="263" customWidth="1"/>
    <col min="13317" max="13317" width="11.85546875" style="263" customWidth="1"/>
    <col min="13318" max="13318" width="12.85546875" style="263" customWidth="1"/>
    <col min="13319" max="13319" width="9.140625" style="263"/>
    <col min="13320" max="13320" width="12.85546875" style="263" customWidth="1"/>
    <col min="13321" max="13321" width="9.140625" style="263"/>
    <col min="13322" max="13322" width="11" style="263" bestFit="1" customWidth="1"/>
    <col min="13323" max="13568" width="9.140625" style="263"/>
    <col min="13569" max="13569" width="6.5703125" style="263" customWidth="1"/>
    <col min="13570" max="13570" width="35" style="263" customWidth="1"/>
    <col min="13571" max="13571" width="10.42578125" style="263" customWidth="1"/>
    <col min="13572" max="13572" width="11.5703125" style="263" customWidth="1"/>
    <col min="13573" max="13573" width="11.85546875" style="263" customWidth="1"/>
    <col min="13574" max="13574" width="12.85546875" style="263" customWidth="1"/>
    <col min="13575" max="13575" width="9.140625" style="263"/>
    <col min="13576" max="13576" width="12.85546875" style="263" customWidth="1"/>
    <col min="13577" max="13577" width="9.140625" style="263"/>
    <col min="13578" max="13578" width="11" style="263" bestFit="1" customWidth="1"/>
    <col min="13579" max="13824" width="9.140625" style="263"/>
    <col min="13825" max="13825" width="6.5703125" style="263" customWidth="1"/>
    <col min="13826" max="13826" width="35" style="263" customWidth="1"/>
    <col min="13827" max="13827" width="10.42578125" style="263" customWidth="1"/>
    <col min="13828" max="13828" width="11.5703125" style="263" customWidth="1"/>
    <col min="13829" max="13829" width="11.85546875" style="263" customWidth="1"/>
    <col min="13830" max="13830" width="12.85546875" style="263" customWidth="1"/>
    <col min="13831" max="13831" width="9.140625" style="263"/>
    <col min="13832" max="13832" width="12.85546875" style="263" customWidth="1"/>
    <col min="13833" max="13833" width="9.140625" style="263"/>
    <col min="13834" max="13834" width="11" style="263" bestFit="1" customWidth="1"/>
    <col min="13835" max="14080" width="9.140625" style="263"/>
    <col min="14081" max="14081" width="6.5703125" style="263" customWidth="1"/>
    <col min="14082" max="14082" width="35" style="263" customWidth="1"/>
    <col min="14083" max="14083" width="10.42578125" style="263" customWidth="1"/>
    <col min="14084" max="14084" width="11.5703125" style="263" customWidth="1"/>
    <col min="14085" max="14085" width="11.85546875" style="263" customWidth="1"/>
    <col min="14086" max="14086" width="12.85546875" style="263" customWidth="1"/>
    <col min="14087" max="14087" width="9.140625" style="263"/>
    <col min="14088" max="14088" width="12.85546875" style="263" customWidth="1"/>
    <col min="14089" max="14089" width="9.140625" style="263"/>
    <col min="14090" max="14090" width="11" style="263" bestFit="1" customWidth="1"/>
    <col min="14091" max="14336" width="9.140625" style="263"/>
    <col min="14337" max="14337" width="6.5703125" style="263" customWidth="1"/>
    <col min="14338" max="14338" width="35" style="263" customWidth="1"/>
    <col min="14339" max="14339" width="10.42578125" style="263" customWidth="1"/>
    <col min="14340" max="14340" width="11.5703125" style="263" customWidth="1"/>
    <col min="14341" max="14341" width="11.85546875" style="263" customWidth="1"/>
    <col min="14342" max="14342" width="12.85546875" style="263" customWidth="1"/>
    <col min="14343" max="14343" width="9.140625" style="263"/>
    <col min="14344" max="14344" width="12.85546875" style="263" customWidth="1"/>
    <col min="14345" max="14345" width="9.140625" style="263"/>
    <col min="14346" max="14346" width="11" style="263" bestFit="1" customWidth="1"/>
    <col min="14347" max="14592" width="9.140625" style="263"/>
    <col min="14593" max="14593" width="6.5703125" style="263" customWidth="1"/>
    <col min="14594" max="14594" width="35" style="263" customWidth="1"/>
    <col min="14595" max="14595" width="10.42578125" style="263" customWidth="1"/>
    <col min="14596" max="14596" width="11.5703125" style="263" customWidth="1"/>
    <col min="14597" max="14597" width="11.85546875" style="263" customWidth="1"/>
    <col min="14598" max="14598" width="12.85546875" style="263" customWidth="1"/>
    <col min="14599" max="14599" width="9.140625" style="263"/>
    <col min="14600" max="14600" width="12.85546875" style="263" customWidth="1"/>
    <col min="14601" max="14601" width="9.140625" style="263"/>
    <col min="14602" max="14602" width="11" style="263" bestFit="1" customWidth="1"/>
    <col min="14603" max="14848" width="9.140625" style="263"/>
    <col min="14849" max="14849" width="6.5703125" style="263" customWidth="1"/>
    <col min="14850" max="14850" width="35" style="263" customWidth="1"/>
    <col min="14851" max="14851" width="10.42578125" style="263" customWidth="1"/>
    <col min="14852" max="14852" width="11.5703125" style="263" customWidth="1"/>
    <col min="14853" max="14853" width="11.85546875" style="263" customWidth="1"/>
    <col min="14854" max="14854" width="12.85546875" style="263" customWidth="1"/>
    <col min="14855" max="14855" width="9.140625" style="263"/>
    <col min="14856" max="14856" width="12.85546875" style="263" customWidth="1"/>
    <col min="14857" max="14857" width="9.140625" style="263"/>
    <col min="14858" max="14858" width="11" style="263" bestFit="1" customWidth="1"/>
    <col min="14859" max="15104" width="9.140625" style="263"/>
    <col min="15105" max="15105" width="6.5703125" style="263" customWidth="1"/>
    <col min="15106" max="15106" width="35" style="263" customWidth="1"/>
    <col min="15107" max="15107" width="10.42578125" style="263" customWidth="1"/>
    <col min="15108" max="15108" width="11.5703125" style="263" customWidth="1"/>
    <col min="15109" max="15109" width="11.85546875" style="263" customWidth="1"/>
    <col min="15110" max="15110" width="12.85546875" style="263" customWidth="1"/>
    <col min="15111" max="15111" width="9.140625" style="263"/>
    <col min="15112" max="15112" width="12.85546875" style="263" customWidth="1"/>
    <col min="15113" max="15113" width="9.140625" style="263"/>
    <col min="15114" max="15114" width="11" style="263" bestFit="1" customWidth="1"/>
    <col min="15115" max="15360" width="9.140625" style="263"/>
    <col min="15361" max="15361" width="6.5703125" style="263" customWidth="1"/>
    <col min="15362" max="15362" width="35" style="263" customWidth="1"/>
    <col min="15363" max="15363" width="10.42578125" style="263" customWidth="1"/>
    <col min="15364" max="15364" width="11.5703125" style="263" customWidth="1"/>
    <col min="15365" max="15365" width="11.85546875" style="263" customWidth="1"/>
    <col min="15366" max="15366" width="12.85546875" style="263" customWidth="1"/>
    <col min="15367" max="15367" width="9.140625" style="263"/>
    <col min="15368" max="15368" width="12.85546875" style="263" customWidth="1"/>
    <col min="15369" max="15369" width="9.140625" style="263"/>
    <col min="15370" max="15370" width="11" style="263" bestFit="1" customWidth="1"/>
    <col min="15371" max="15616" width="9.140625" style="263"/>
    <col min="15617" max="15617" width="6.5703125" style="263" customWidth="1"/>
    <col min="15618" max="15618" width="35" style="263" customWidth="1"/>
    <col min="15619" max="15619" width="10.42578125" style="263" customWidth="1"/>
    <col min="15620" max="15620" width="11.5703125" style="263" customWidth="1"/>
    <col min="15621" max="15621" width="11.85546875" style="263" customWidth="1"/>
    <col min="15622" max="15622" width="12.85546875" style="263" customWidth="1"/>
    <col min="15623" max="15623" width="9.140625" style="263"/>
    <col min="15624" max="15624" width="12.85546875" style="263" customWidth="1"/>
    <col min="15625" max="15625" width="9.140625" style="263"/>
    <col min="15626" max="15626" width="11" style="263" bestFit="1" customWidth="1"/>
    <col min="15627" max="15872" width="9.140625" style="263"/>
    <col min="15873" max="15873" width="6.5703125" style="263" customWidth="1"/>
    <col min="15874" max="15874" width="35" style="263" customWidth="1"/>
    <col min="15875" max="15875" width="10.42578125" style="263" customWidth="1"/>
    <col min="15876" max="15876" width="11.5703125" style="263" customWidth="1"/>
    <col min="15877" max="15877" width="11.85546875" style="263" customWidth="1"/>
    <col min="15878" max="15878" width="12.85546875" style="263" customWidth="1"/>
    <col min="15879" max="15879" width="9.140625" style="263"/>
    <col min="15880" max="15880" width="12.85546875" style="263" customWidth="1"/>
    <col min="15881" max="15881" width="9.140625" style="263"/>
    <col min="15882" max="15882" width="11" style="263" bestFit="1" customWidth="1"/>
    <col min="15883" max="16128" width="9.140625" style="263"/>
    <col min="16129" max="16129" width="6.5703125" style="263" customWidth="1"/>
    <col min="16130" max="16130" width="35" style="263" customWidth="1"/>
    <col min="16131" max="16131" width="10.42578125" style="263" customWidth="1"/>
    <col min="16132" max="16132" width="11.5703125" style="263" customWidth="1"/>
    <col min="16133" max="16133" width="11.85546875" style="263" customWidth="1"/>
    <col min="16134" max="16134" width="12.85546875" style="263" customWidth="1"/>
    <col min="16135" max="16135" width="9.140625" style="263"/>
    <col min="16136" max="16136" width="12.85546875" style="263" customWidth="1"/>
    <col min="16137" max="16137" width="9.140625" style="263"/>
    <col min="16138" max="16138" width="11" style="263" bestFit="1" customWidth="1"/>
    <col min="16139" max="16384" width="9.140625" style="263"/>
  </cols>
  <sheetData>
    <row r="1" spans="1:8" s="262" customFormat="1" ht="15">
      <c r="A1" s="262" t="s">
        <v>331</v>
      </c>
    </row>
    <row r="2" spans="1:8" s="262" customFormat="1" ht="15">
      <c r="A2" s="262" t="s">
        <v>332</v>
      </c>
    </row>
    <row r="3" spans="1:8" s="68" customFormat="1" ht="17.25" thickBot="1">
      <c r="A3" s="68" t="s">
        <v>351</v>
      </c>
    </row>
    <row r="4" spans="1:8" s="262" customFormat="1" ht="15.75" thickBot="1">
      <c r="A4" s="273"/>
      <c r="B4" s="274" t="s">
        <v>352</v>
      </c>
      <c r="C4" s="274"/>
      <c r="D4" s="274"/>
      <c r="E4" s="274"/>
      <c r="F4" s="275"/>
    </row>
    <row r="5" spans="1:8" s="262" customFormat="1" ht="15">
      <c r="A5" s="276" t="s">
        <v>353</v>
      </c>
      <c r="B5" s="276" t="s">
        <v>354</v>
      </c>
      <c r="C5" s="276" t="s">
        <v>355</v>
      </c>
      <c r="D5" s="276" t="s">
        <v>356</v>
      </c>
      <c r="E5" s="276" t="s">
        <v>357</v>
      </c>
      <c r="F5" s="276" t="s">
        <v>358</v>
      </c>
    </row>
    <row r="6" spans="1:8" s="262" customFormat="1" ht="15.75" thickBot="1">
      <c r="A6" s="277"/>
      <c r="B6" s="277"/>
      <c r="C6" s="277" t="s">
        <v>359</v>
      </c>
      <c r="D6" s="277" t="s">
        <v>360</v>
      </c>
      <c r="E6" s="277">
        <v>2012</v>
      </c>
      <c r="F6" s="277">
        <v>2011</v>
      </c>
    </row>
    <row r="7" spans="1:8" s="209" customFormat="1" ht="15.75">
      <c r="A7" s="209">
        <v>1</v>
      </c>
      <c r="B7" s="209" t="s">
        <v>361</v>
      </c>
      <c r="C7" s="209">
        <v>60</v>
      </c>
      <c r="D7" s="209">
        <v>12100</v>
      </c>
      <c r="E7" s="278">
        <f>+E8-E9+E10+E11+E12</f>
        <v>393529576.89999998</v>
      </c>
      <c r="F7" s="279">
        <f>+F8-F9+F10+F11+F12</f>
        <v>166003492</v>
      </c>
      <c r="H7" s="262"/>
    </row>
    <row r="8" spans="1:8" ht="15">
      <c r="A8" s="263" t="s">
        <v>362</v>
      </c>
      <c r="B8" s="263" t="s">
        <v>363</v>
      </c>
      <c r="C8" s="263" t="s">
        <v>364</v>
      </c>
      <c r="D8" s="263">
        <v>12101</v>
      </c>
      <c r="E8" s="266">
        <f>+'[1]a-sh.nat'!C12-E29-E39+[1]bilanci!E65</f>
        <v>399842144.90270007</v>
      </c>
      <c r="F8" s="280">
        <f>+[2]P2!$E$8</f>
        <v>142276269.48660001</v>
      </c>
      <c r="H8" s="262"/>
    </row>
    <row r="9" spans="1:8" ht="15">
      <c r="A9" s="263" t="s">
        <v>365</v>
      </c>
      <c r="B9" s="263" t="s">
        <v>366</v>
      </c>
      <c r="D9" s="263">
        <v>12102</v>
      </c>
      <c r="E9" s="266">
        <f>+'[1]a-sh.nat'!C11</f>
        <v>6312568.0027000904</v>
      </c>
      <c r="F9" s="280">
        <f>+[2]P2!$E$9</f>
        <v>-23727222.513399988</v>
      </c>
      <c r="H9" s="262"/>
    </row>
    <row r="10" spans="1:8">
      <c r="A10" s="263" t="s">
        <v>367</v>
      </c>
      <c r="B10" s="263" t="s">
        <v>368</v>
      </c>
      <c r="C10" s="263" t="s">
        <v>369</v>
      </c>
      <c r="D10" s="263">
        <v>12103</v>
      </c>
      <c r="F10" s="281"/>
    </row>
    <row r="11" spans="1:8">
      <c r="A11" s="263" t="s">
        <v>370</v>
      </c>
      <c r="B11" s="263" t="s">
        <v>371</v>
      </c>
      <c r="D11" s="263">
        <v>12104</v>
      </c>
      <c r="F11" s="281"/>
    </row>
    <row r="12" spans="1:8">
      <c r="A12" s="263" t="s">
        <v>372</v>
      </c>
      <c r="B12" s="263" t="s">
        <v>373</v>
      </c>
      <c r="C12" s="263" t="s">
        <v>374</v>
      </c>
      <c r="D12" s="263">
        <v>12105</v>
      </c>
      <c r="F12" s="281"/>
    </row>
    <row r="13" spans="1:8" s="209" customFormat="1" ht="15">
      <c r="A13" s="209">
        <v>2</v>
      </c>
      <c r="B13" s="209" t="s">
        <v>375</v>
      </c>
      <c r="C13" s="209">
        <v>64</v>
      </c>
      <c r="D13" s="209">
        <v>12200</v>
      </c>
      <c r="E13" s="278">
        <f>+E14+E15</f>
        <v>39886126.819471613</v>
      </c>
      <c r="F13" s="279">
        <f>+F14+F15</f>
        <v>12023071.826072307</v>
      </c>
    </row>
    <row r="14" spans="1:8">
      <c r="A14" s="263" t="s">
        <v>362</v>
      </c>
      <c r="B14" s="263" t="s">
        <v>376</v>
      </c>
      <c r="C14" s="263">
        <v>641</v>
      </c>
      <c r="D14" s="263">
        <v>12201</v>
      </c>
      <c r="E14" s="266">
        <f>+'[1]a-sh.nat'!C15</f>
        <v>36078285.147923075</v>
      </c>
      <c r="F14" s="280">
        <f>+[2]P2!$E$15</f>
        <v>10302540.909230769</v>
      </c>
    </row>
    <row r="15" spans="1:8">
      <c r="A15" s="263" t="s">
        <v>365</v>
      </c>
      <c r="B15" s="263" t="s">
        <v>377</v>
      </c>
      <c r="C15" s="263">
        <v>644</v>
      </c>
      <c r="D15" s="263">
        <v>12202</v>
      </c>
      <c r="E15" s="266">
        <f>+'[1]a-sh.nat'!C16</f>
        <v>3807841.6715485379</v>
      </c>
      <c r="F15" s="280">
        <f>+'[1]a-sh.nat'!D16</f>
        <v>1720530.9168415382</v>
      </c>
    </row>
    <row r="16" spans="1:8" s="209" customFormat="1" ht="15">
      <c r="A16" s="209">
        <v>3</v>
      </c>
      <c r="B16" s="209" t="s">
        <v>378</v>
      </c>
      <c r="C16" s="209">
        <v>68</v>
      </c>
      <c r="D16" s="209">
        <v>12300</v>
      </c>
      <c r="E16" s="282">
        <f>+'[1]a-sh.nat'!C17</f>
        <v>21608631.240943331</v>
      </c>
      <c r="F16" s="283">
        <f>+'[1]a-sh.nat'!D17</f>
        <v>11257082.803359997</v>
      </c>
      <c r="H16" s="263"/>
    </row>
    <row r="17" spans="1:8" s="209" customFormat="1" ht="15">
      <c r="A17" s="209">
        <v>4</v>
      </c>
      <c r="B17" s="209" t="s">
        <v>379</v>
      </c>
      <c r="C17" s="209">
        <v>61</v>
      </c>
      <c r="D17" s="209">
        <v>12400</v>
      </c>
      <c r="E17" s="283">
        <f>SUM(E18:E37)</f>
        <v>210465429.14153332</v>
      </c>
      <c r="F17" s="283">
        <f>SUM(F18:F37)</f>
        <v>87083176.96872668</v>
      </c>
      <c r="H17" s="263"/>
    </row>
    <row r="18" spans="1:8">
      <c r="A18" s="263" t="s">
        <v>362</v>
      </c>
      <c r="B18" s="263" t="s">
        <v>380</v>
      </c>
      <c r="D18" s="263">
        <v>12401</v>
      </c>
      <c r="E18" s="266">
        <f>+[1]bilanci!E73</f>
        <v>0</v>
      </c>
      <c r="F18" s="281">
        <f>+[2]P2!$E$19</f>
        <v>3361169.5538666714</v>
      </c>
    </row>
    <row r="19" spans="1:8">
      <c r="A19" s="263" t="s">
        <v>365</v>
      </c>
      <c r="B19" s="263" t="s">
        <v>381</v>
      </c>
      <c r="C19" s="263">
        <v>611</v>
      </c>
      <c r="D19" s="263">
        <v>12402</v>
      </c>
      <c r="E19" s="263">
        <v>4012550</v>
      </c>
      <c r="F19" s="281"/>
    </row>
    <row r="20" spans="1:8">
      <c r="A20" s="263" t="s">
        <v>367</v>
      </c>
      <c r="B20" s="263" t="s">
        <v>382</v>
      </c>
      <c r="C20" s="263">
        <v>613</v>
      </c>
      <c r="D20" s="263">
        <v>12403</v>
      </c>
      <c r="E20" s="266">
        <f>+[1]bilanci!E60</f>
        <v>519108</v>
      </c>
      <c r="F20" s="280">
        <f>+[2]P2!$E$21</f>
        <v>914670</v>
      </c>
    </row>
    <row r="21" spans="1:8">
      <c r="A21" s="263" t="s">
        <v>370</v>
      </c>
      <c r="B21" s="263" t="s">
        <v>383</v>
      </c>
      <c r="C21" s="263">
        <v>615</v>
      </c>
      <c r="D21" s="263">
        <v>12404</v>
      </c>
      <c r="E21" s="266">
        <f>+[1]bilanci!E59</f>
        <v>3045656</v>
      </c>
      <c r="F21" s="280">
        <f>+[2]P2!$E$22</f>
        <v>772102</v>
      </c>
    </row>
    <row r="22" spans="1:8">
      <c r="A22" s="263" t="s">
        <v>372</v>
      </c>
      <c r="B22" s="263" t="s">
        <v>384</v>
      </c>
      <c r="C22" s="263">
        <v>616</v>
      </c>
      <c r="D22" s="263">
        <v>12405</v>
      </c>
      <c r="F22" s="284"/>
    </row>
    <row r="23" spans="1:8">
      <c r="A23" s="263" t="s">
        <v>385</v>
      </c>
      <c r="B23" s="263" t="s">
        <v>386</v>
      </c>
      <c r="C23" s="263">
        <v>617</v>
      </c>
      <c r="D23" s="263">
        <v>12406</v>
      </c>
      <c r="F23" s="281"/>
    </row>
    <row r="24" spans="1:8">
      <c r="A24" s="263" t="s">
        <v>387</v>
      </c>
      <c r="B24" s="263" t="s">
        <v>388</v>
      </c>
      <c r="C24" s="263">
        <v>618</v>
      </c>
      <c r="D24" s="263">
        <v>12407</v>
      </c>
      <c r="E24" s="266">
        <f>+[1]bilanci!E54-260000</f>
        <v>12522727.716699999</v>
      </c>
      <c r="F24" s="280">
        <f>+[2]P2!$E$25</f>
        <v>1064050.0812600001</v>
      </c>
    </row>
    <row r="25" spans="1:8">
      <c r="A25" s="263" t="s">
        <v>389</v>
      </c>
      <c r="B25" s="263" t="s">
        <v>390</v>
      </c>
      <c r="C25" s="263">
        <v>623</v>
      </c>
      <c r="D25" s="263">
        <v>12408</v>
      </c>
      <c r="F25" s="281"/>
    </row>
    <row r="26" spans="1:8">
      <c r="A26" s="263" t="s">
        <v>391</v>
      </c>
      <c r="B26" s="263" t="s">
        <v>392</v>
      </c>
      <c r="C26" s="263">
        <v>624</v>
      </c>
      <c r="D26" s="263">
        <v>12409</v>
      </c>
      <c r="E26" s="266">
        <f>+[1]bilanci!E62</f>
        <v>0</v>
      </c>
      <c r="F26" s="280">
        <f>+[2]P2!$E$27</f>
        <v>40600</v>
      </c>
    </row>
    <row r="27" spans="1:8">
      <c r="A27" s="263" t="s">
        <v>393</v>
      </c>
      <c r="B27" s="263" t="s">
        <v>394</v>
      </c>
      <c r="C27" s="263">
        <v>625</v>
      </c>
      <c r="D27" s="263">
        <v>12410</v>
      </c>
      <c r="E27" s="266">
        <f>+[1]bilanci!E69</f>
        <v>27464695.399999999</v>
      </c>
      <c r="F27" s="280">
        <f>+[2]P2!$E$28</f>
        <v>8943452.4000000004</v>
      </c>
    </row>
    <row r="28" spans="1:8">
      <c r="A28" s="263" t="s">
        <v>395</v>
      </c>
      <c r="B28" s="263" t="s">
        <v>396</v>
      </c>
      <c r="C28" s="263">
        <v>626</v>
      </c>
      <c r="D28" s="263">
        <v>12411</v>
      </c>
      <c r="E28" s="266">
        <f>+[1]bilanci!E63</f>
        <v>1752648.92</v>
      </c>
      <c r="F28" s="280">
        <f>+[2]P2!$E$29</f>
        <v>1684716.7</v>
      </c>
    </row>
    <row r="29" spans="1:8">
      <c r="A29" s="263" t="s">
        <v>397</v>
      </c>
      <c r="B29" s="263" t="s">
        <v>398</v>
      </c>
      <c r="C29" s="263">
        <v>627</v>
      </c>
      <c r="D29" s="263">
        <v>12412</v>
      </c>
      <c r="E29" s="266">
        <f>+[1]imp.12!N153+[1]bilanci!E65</f>
        <v>21947226</v>
      </c>
      <c r="F29" s="280">
        <f>+[2]P2!$E$30</f>
        <v>17991321</v>
      </c>
    </row>
    <row r="30" spans="1:8">
      <c r="B30" s="263" t="s">
        <v>399</v>
      </c>
      <c r="C30" s="263">
        <v>652</v>
      </c>
      <c r="E30" s="266">
        <f>+[1]bilanci!E66+[1]bilanci!E67</f>
        <v>37349473.883333333</v>
      </c>
      <c r="F30" s="280">
        <f>+[2]P2!$E$31</f>
        <v>7287313</v>
      </c>
    </row>
    <row r="31" spans="1:8">
      <c r="B31" s="263" t="s">
        <v>400</v>
      </c>
      <c r="C31" s="263">
        <v>6271</v>
      </c>
      <c r="D31" s="263">
        <v>124121</v>
      </c>
      <c r="E31" s="266"/>
      <c r="F31" s="281"/>
    </row>
    <row r="32" spans="1:8">
      <c r="B32" s="263" t="s">
        <v>401</v>
      </c>
      <c r="C32" s="263">
        <v>6272</v>
      </c>
      <c r="D32" s="263">
        <v>124122</v>
      </c>
      <c r="E32" s="266"/>
      <c r="F32" s="281"/>
    </row>
    <row r="33" spans="1:10">
      <c r="B33" s="263" t="s">
        <v>402</v>
      </c>
      <c r="C33" s="263">
        <v>621</v>
      </c>
      <c r="E33" s="266">
        <v>260000</v>
      </c>
      <c r="F33" s="280">
        <f>+[2]P2!$E$34</f>
        <v>8827748</v>
      </c>
    </row>
    <row r="34" spans="1:10">
      <c r="B34" s="263" t="s">
        <v>403</v>
      </c>
      <c r="C34" s="263">
        <v>604</v>
      </c>
      <c r="E34" s="266">
        <f>+[1]bilanci!E70</f>
        <v>27016753.049999993</v>
      </c>
      <c r="F34" s="280">
        <f>+[2]P2!$E$35</f>
        <v>4528186</v>
      </c>
    </row>
    <row r="35" spans="1:10">
      <c r="B35" s="263" t="s">
        <v>404</v>
      </c>
      <c r="C35" s="263">
        <v>661</v>
      </c>
      <c r="E35" s="266">
        <f>+[1]bilanci!E71</f>
        <v>13058231.226099998</v>
      </c>
      <c r="F35" s="280">
        <f>+[2]P2!$E$36</f>
        <v>12342081.0381</v>
      </c>
    </row>
    <row r="36" spans="1:10">
      <c r="B36" s="263" t="s">
        <v>405</v>
      </c>
      <c r="E36" s="266">
        <f>+[1]bilanci!E75</f>
        <v>61516358.9454</v>
      </c>
      <c r="F36" s="280">
        <f>+[2]P2!$E$37</f>
        <v>18012937.225500003</v>
      </c>
    </row>
    <row r="37" spans="1:10">
      <c r="A37" s="263" t="s">
        <v>406</v>
      </c>
      <c r="B37" s="263" t="s">
        <v>407</v>
      </c>
      <c r="C37" s="263">
        <v>628</v>
      </c>
      <c r="D37" s="263">
        <v>12413</v>
      </c>
      <c r="E37" s="266">
        <f>+[1]bilanci!K55</f>
        <v>0</v>
      </c>
      <c r="F37" s="280">
        <f>+[2]P2!$E$38</f>
        <v>1312829.97</v>
      </c>
    </row>
    <row r="38" spans="1:10" s="209" customFormat="1" ht="15">
      <c r="A38" s="209">
        <v>5</v>
      </c>
      <c r="B38" s="209" t="s">
        <v>408</v>
      </c>
      <c r="C38" s="209">
        <v>63</v>
      </c>
      <c r="D38" s="209">
        <v>12500</v>
      </c>
      <c r="E38" s="279">
        <f>+E39+E40+E41+E42</f>
        <v>3089671.16</v>
      </c>
      <c r="F38" s="279">
        <f>+F39+F40+F41+F42</f>
        <v>1362948.76</v>
      </c>
      <c r="H38" s="263"/>
    </row>
    <row r="39" spans="1:10">
      <c r="A39" s="263" t="s">
        <v>362</v>
      </c>
      <c r="B39" s="263" t="s">
        <v>409</v>
      </c>
      <c r="C39" s="263">
        <v>632</v>
      </c>
      <c r="D39" s="263">
        <v>12501</v>
      </c>
      <c r="E39" s="266">
        <f>+[1]imp.12!L153+[1]imp.12!M153</f>
        <v>1717909</v>
      </c>
      <c r="F39" s="280">
        <f>+[2]P2!$E$40</f>
        <v>155538</v>
      </c>
    </row>
    <row r="40" spans="1:10">
      <c r="A40" s="263" t="s">
        <v>365</v>
      </c>
      <c r="B40" s="263" t="s">
        <v>410</v>
      </c>
      <c r="C40" s="263">
        <v>633</v>
      </c>
      <c r="D40" s="263">
        <v>12501</v>
      </c>
      <c r="E40" s="266"/>
      <c r="F40" s="285">
        <v>0</v>
      </c>
    </row>
    <row r="41" spans="1:10">
      <c r="A41" s="263" t="s">
        <v>367</v>
      </c>
      <c r="B41" s="263" t="s">
        <v>411</v>
      </c>
      <c r="C41" s="263">
        <v>634</v>
      </c>
      <c r="D41" s="263">
        <v>12503</v>
      </c>
      <c r="E41" s="266">
        <f>+[1]bilanci!E68</f>
        <v>1371762.1600000001</v>
      </c>
      <c r="F41" s="280">
        <f>+[2]P2!$E$42</f>
        <v>1207410.76</v>
      </c>
    </row>
    <row r="42" spans="1:10">
      <c r="A42" s="263" t="s">
        <v>370</v>
      </c>
      <c r="B42" s="263" t="s">
        <v>412</v>
      </c>
      <c r="C42" s="263" t="s">
        <v>413</v>
      </c>
      <c r="D42" s="263">
        <v>12504</v>
      </c>
      <c r="F42" s="281"/>
    </row>
    <row r="43" spans="1:10" s="209" customFormat="1" ht="15">
      <c r="B43" s="209" t="s">
        <v>414</v>
      </c>
      <c r="D43" s="209">
        <v>12600</v>
      </c>
      <c r="E43" s="278">
        <f>+E38+E17+E16+E13+E7</f>
        <v>668579435.26194823</v>
      </c>
      <c r="F43" s="278">
        <f>+F38+F17+F16+F13+F7</f>
        <v>277729772.35815901</v>
      </c>
      <c r="H43" s="263"/>
      <c r="J43" s="263"/>
    </row>
    <row r="44" spans="1:10" s="209" customFormat="1" ht="15">
      <c r="B44" s="209" t="s">
        <v>415</v>
      </c>
      <c r="E44" s="209" t="s">
        <v>416</v>
      </c>
      <c r="F44" s="209" t="s">
        <v>417</v>
      </c>
      <c r="H44" s="263"/>
      <c r="J44" s="263"/>
    </row>
    <row r="45" spans="1:10" s="209" customFormat="1" ht="15">
      <c r="A45" s="209">
        <v>1</v>
      </c>
      <c r="B45" s="209" t="s">
        <v>418</v>
      </c>
      <c r="D45" s="209">
        <v>14000</v>
      </c>
      <c r="E45" s="282">
        <v>30</v>
      </c>
      <c r="F45" s="209">
        <v>32</v>
      </c>
      <c r="H45" s="263"/>
    </row>
    <row r="46" spans="1:10" s="209" customFormat="1" ht="15">
      <c r="A46" s="209">
        <v>2</v>
      </c>
      <c r="B46" s="209" t="s">
        <v>419</v>
      </c>
      <c r="D46" s="209">
        <v>15000</v>
      </c>
      <c r="E46" s="282"/>
      <c r="H46" s="263"/>
    </row>
    <row r="47" spans="1:10">
      <c r="A47" s="263" t="s">
        <v>362</v>
      </c>
      <c r="B47" s="263" t="s">
        <v>420</v>
      </c>
      <c r="D47" s="263">
        <v>15001</v>
      </c>
      <c r="E47" s="266"/>
      <c r="F47" s="266">
        <f>+F48</f>
        <v>514801</v>
      </c>
    </row>
    <row r="48" spans="1:10">
      <c r="B48" s="263" t="s">
        <v>421</v>
      </c>
      <c r="D48" s="263">
        <v>150011</v>
      </c>
      <c r="E48" s="266">
        <f>+[1]bilanci!E19</f>
        <v>39813437.524999999</v>
      </c>
      <c r="F48" s="266">
        <v>514801</v>
      </c>
    </row>
    <row r="49" spans="1:6">
      <c r="A49" s="263" t="s">
        <v>365</v>
      </c>
      <c r="B49" s="263" t="s">
        <v>422</v>
      </c>
      <c r="D49" s="263">
        <v>15002</v>
      </c>
      <c r="E49" s="266">
        <f>+[1]bilanci!F20</f>
        <v>0</v>
      </c>
      <c r="F49" s="266">
        <v>1521450</v>
      </c>
    </row>
    <row r="50" spans="1:6">
      <c r="B50" s="263" t="s">
        <v>423</v>
      </c>
      <c r="D50" s="263">
        <v>150021</v>
      </c>
      <c r="E50" s="266">
        <f>+[1]bilanci!F21</f>
        <v>21608631.240943331</v>
      </c>
      <c r="F50" s="266">
        <v>3033413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I36"/>
  <sheetViews>
    <sheetView topLeftCell="A10" workbookViewId="0">
      <selection activeCell="H13" sqref="H13"/>
    </sheetView>
  </sheetViews>
  <sheetFormatPr defaultColWidth="15.85546875" defaultRowHeight="16.5"/>
  <cols>
    <col min="1" max="1" width="9.42578125" style="68" customWidth="1"/>
    <col min="2" max="2" width="35.42578125" style="68" customWidth="1"/>
    <col min="3" max="3" width="12" style="68" customWidth="1"/>
    <col min="4" max="7" width="15.85546875" style="68"/>
    <col min="8" max="8" width="15.85546875" style="144"/>
    <col min="9" max="9" width="15.85546875" style="142"/>
    <col min="10" max="256" width="15.85546875" style="68"/>
    <col min="257" max="257" width="9.42578125" style="68" customWidth="1"/>
    <col min="258" max="258" width="35.42578125" style="68" customWidth="1"/>
    <col min="259" max="259" width="12" style="68" customWidth="1"/>
    <col min="260" max="512" width="15.85546875" style="68"/>
    <col min="513" max="513" width="9.42578125" style="68" customWidth="1"/>
    <col min="514" max="514" width="35.42578125" style="68" customWidth="1"/>
    <col min="515" max="515" width="12" style="68" customWidth="1"/>
    <col min="516" max="768" width="15.85546875" style="68"/>
    <col min="769" max="769" width="9.42578125" style="68" customWidth="1"/>
    <col min="770" max="770" width="35.42578125" style="68" customWidth="1"/>
    <col min="771" max="771" width="12" style="68" customWidth="1"/>
    <col min="772" max="1024" width="15.85546875" style="68"/>
    <col min="1025" max="1025" width="9.42578125" style="68" customWidth="1"/>
    <col min="1026" max="1026" width="35.42578125" style="68" customWidth="1"/>
    <col min="1027" max="1027" width="12" style="68" customWidth="1"/>
    <col min="1028" max="1280" width="15.85546875" style="68"/>
    <col min="1281" max="1281" width="9.42578125" style="68" customWidth="1"/>
    <col min="1282" max="1282" width="35.42578125" style="68" customWidth="1"/>
    <col min="1283" max="1283" width="12" style="68" customWidth="1"/>
    <col min="1284" max="1536" width="15.85546875" style="68"/>
    <col min="1537" max="1537" width="9.42578125" style="68" customWidth="1"/>
    <col min="1538" max="1538" width="35.42578125" style="68" customWidth="1"/>
    <col min="1539" max="1539" width="12" style="68" customWidth="1"/>
    <col min="1540" max="1792" width="15.85546875" style="68"/>
    <col min="1793" max="1793" width="9.42578125" style="68" customWidth="1"/>
    <col min="1794" max="1794" width="35.42578125" style="68" customWidth="1"/>
    <col min="1795" max="1795" width="12" style="68" customWidth="1"/>
    <col min="1796" max="2048" width="15.85546875" style="68"/>
    <col min="2049" max="2049" width="9.42578125" style="68" customWidth="1"/>
    <col min="2050" max="2050" width="35.42578125" style="68" customWidth="1"/>
    <col min="2051" max="2051" width="12" style="68" customWidth="1"/>
    <col min="2052" max="2304" width="15.85546875" style="68"/>
    <col min="2305" max="2305" width="9.42578125" style="68" customWidth="1"/>
    <col min="2306" max="2306" width="35.42578125" style="68" customWidth="1"/>
    <col min="2307" max="2307" width="12" style="68" customWidth="1"/>
    <col min="2308" max="2560" width="15.85546875" style="68"/>
    <col min="2561" max="2561" width="9.42578125" style="68" customWidth="1"/>
    <col min="2562" max="2562" width="35.42578125" style="68" customWidth="1"/>
    <col min="2563" max="2563" width="12" style="68" customWidth="1"/>
    <col min="2564" max="2816" width="15.85546875" style="68"/>
    <col min="2817" max="2817" width="9.42578125" style="68" customWidth="1"/>
    <col min="2818" max="2818" width="35.42578125" style="68" customWidth="1"/>
    <col min="2819" max="2819" width="12" style="68" customWidth="1"/>
    <col min="2820" max="3072" width="15.85546875" style="68"/>
    <col min="3073" max="3073" width="9.42578125" style="68" customWidth="1"/>
    <col min="3074" max="3074" width="35.42578125" style="68" customWidth="1"/>
    <col min="3075" max="3075" width="12" style="68" customWidth="1"/>
    <col min="3076" max="3328" width="15.85546875" style="68"/>
    <col min="3329" max="3329" width="9.42578125" style="68" customWidth="1"/>
    <col min="3330" max="3330" width="35.42578125" style="68" customWidth="1"/>
    <col min="3331" max="3331" width="12" style="68" customWidth="1"/>
    <col min="3332" max="3584" width="15.85546875" style="68"/>
    <col min="3585" max="3585" width="9.42578125" style="68" customWidth="1"/>
    <col min="3586" max="3586" width="35.42578125" style="68" customWidth="1"/>
    <col min="3587" max="3587" width="12" style="68" customWidth="1"/>
    <col min="3588" max="3840" width="15.85546875" style="68"/>
    <col min="3841" max="3841" width="9.42578125" style="68" customWidth="1"/>
    <col min="3842" max="3842" width="35.42578125" style="68" customWidth="1"/>
    <col min="3843" max="3843" width="12" style="68" customWidth="1"/>
    <col min="3844" max="4096" width="15.85546875" style="68"/>
    <col min="4097" max="4097" width="9.42578125" style="68" customWidth="1"/>
    <col min="4098" max="4098" width="35.42578125" style="68" customWidth="1"/>
    <col min="4099" max="4099" width="12" style="68" customWidth="1"/>
    <col min="4100" max="4352" width="15.85546875" style="68"/>
    <col min="4353" max="4353" width="9.42578125" style="68" customWidth="1"/>
    <col min="4354" max="4354" width="35.42578125" style="68" customWidth="1"/>
    <col min="4355" max="4355" width="12" style="68" customWidth="1"/>
    <col min="4356" max="4608" width="15.85546875" style="68"/>
    <col min="4609" max="4609" width="9.42578125" style="68" customWidth="1"/>
    <col min="4610" max="4610" width="35.42578125" style="68" customWidth="1"/>
    <col min="4611" max="4611" width="12" style="68" customWidth="1"/>
    <col min="4612" max="4864" width="15.85546875" style="68"/>
    <col min="4865" max="4865" width="9.42578125" style="68" customWidth="1"/>
    <col min="4866" max="4866" width="35.42578125" style="68" customWidth="1"/>
    <col min="4867" max="4867" width="12" style="68" customWidth="1"/>
    <col min="4868" max="5120" width="15.85546875" style="68"/>
    <col min="5121" max="5121" width="9.42578125" style="68" customWidth="1"/>
    <col min="5122" max="5122" width="35.42578125" style="68" customWidth="1"/>
    <col min="5123" max="5123" width="12" style="68" customWidth="1"/>
    <col min="5124" max="5376" width="15.85546875" style="68"/>
    <col min="5377" max="5377" width="9.42578125" style="68" customWidth="1"/>
    <col min="5378" max="5378" width="35.42578125" style="68" customWidth="1"/>
    <col min="5379" max="5379" width="12" style="68" customWidth="1"/>
    <col min="5380" max="5632" width="15.85546875" style="68"/>
    <col min="5633" max="5633" width="9.42578125" style="68" customWidth="1"/>
    <col min="5634" max="5634" width="35.42578125" style="68" customWidth="1"/>
    <col min="5635" max="5635" width="12" style="68" customWidth="1"/>
    <col min="5636" max="5888" width="15.85546875" style="68"/>
    <col min="5889" max="5889" width="9.42578125" style="68" customWidth="1"/>
    <col min="5890" max="5890" width="35.42578125" style="68" customWidth="1"/>
    <col min="5891" max="5891" width="12" style="68" customWidth="1"/>
    <col min="5892" max="6144" width="15.85546875" style="68"/>
    <col min="6145" max="6145" width="9.42578125" style="68" customWidth="1"/>
    <col min="6146" max="6146" width="35.42578125" style="68" customWidth="1"/>
    <col min="6147" max="6147" width="12" style="68" customWidth="1"/>
    <col min="6148" max="6400" width="15.85546875" style="68"/>
    <col min="6401" max="6401" width="9.42578125" style="68" customWidth="1"/>
    <col min="6402" max="6402" width="35.42578125" style="68" customWidth="1"/>
    <col min="6403" max="6403" width="12" style="68" customWidth="1"/>
    <col min="6404" max="6656" width="15.85546875" style="68"/>
    <col min="6657" max="6657" width="9.42578125" style="68" customWidth="1"/>
    <col min="6658" max="6658" width="35.42578125" style="68" customWidth="1"/>
    <col min="6659" max="6659" width="12" style="68" customWidth="1"/>
    <col min="6660" max="6912" width="15.85546875" style="68"/>
    <col min="6913" max="6913" width="9.42578125" style="68" customWidth="1"/>
    <col min="6914" max="6914" width="35.42578125" style="68" customWidth="1"/>
    <col min="6915" max="6915" width="12" style="68" customWidth="1"/>
    <col min="6916" max="7168" width="15.85546875" style="68"/>
    <col min="7169" max="7169" width="9.42578125" style="68" customWidth="1"/>
    <col min="7170" max="7170" width="35.42578125" style="68" customWidth="1"/>
    <col min="7171" max="7171" width="12" style="68" customWidth="1"/>
    <col min="7172" max="7424" width="15.85546875" style="68"/>
    <col min="7425" max="7425" width="9.42578125" style="68" customWidth="1"/>
    <col min="7426" max="7426" width="35.42578125" style="68" customWidth="1"/>
    <col min="7427" max="7427" width="12" style="68" customWidth="1"/>
    <col min="7428" max="7680" width="15.85546875" style="68"/>
    <col min="7681" max="7681" width="9.42578125" style="68" customWidth="1"/>
    <col min="7682" max="7682" width="35.42578125" style="68" customWidth="1"/>
    <col min="7683" max="7683" width="12" style="68" customWidth="1"/>
    <col min="7684" max="7936" width="15.85546875" style="68"/>
    <col min="7937" max="7937" width="9.42578125" style="68" customWidth="1"/>
    <col min="7938" max="7938" width="35.42578125" style="68" customWidth="1"/>
    <col min="7939" max="7939" width="12" style="68" customWidth="1"/>
    <col min="7940" max="8192" width="15.85546875" style="68"/>
    <col min="8193" max="8193" width="9.42578125" style="68" customWidth="1"/>
    <col min="8194" max="8194" width="35.42578125" style="68" customWidth="1"/>
    <col min="8195" max="8195" width="12" style="68" customWidth="1"/>
    <col min="8196" max="8448" width="15.85546875" style="68"/>
    <col min="8449" max="8449" width="9.42578125" style="68" customWidth="1"/>
    <col min="8450" max="8450" width="35.42578125" style="68" customWidth="1"/>
    <col min="8451" max="8451" width="12" style="68" customWidth="1"/>
    <col min="8452" max="8704" width="15.85546875" style="68"/>
    <col min="8705" max="8705" width="9.42578125" style="68" customWidth="1"/>
    <col min="8706" max="8706" width="35.42578125" style="68" customWidth="1"/>
    <col min="8707" max="8707" width="12" style="68" customWidth="1"/>
    <col min="8708" max="8960" width="15.85546875" style="68"/>
    <col min="8961" max="8961" width="9.42578125" style="68" customWidth="1"/>
    <col min="8962" max="8962" width="35.42578125" style="68" customWidth="1"/>
    <col min="8963" max="8963" width="12" style="68" customWidth="1"/>
    <col min="8964" max="9216" width="15.85546875" style="68"/>
    <col min="9217" max="9217" width="9.42578125" style="68" customWidth="1"/>
    <col min="9218" max="9218" width="35.42578125" style="68" customWidth="1"/>
    <col min="9219" max="9219" width="12" style="68" customWidth="1"/>
    <col min="9220" max="9472" width="15.85546875" style="68"/>
    <col min="9473" max="9473" width="9.42578125" style="68" customWidth="1"/>
    <col min="9474" max="9474" width="35.42578125" style="68" customWidth="1"/>
    <col min="9475" max="9475" width="12" style="68" customWidth="1"/>
    <col min="9476" max="9728" width="15.85546875" style="68"/>
    <col min="9729" max="9729" width="9.42578125" style="68" customWidth="1"/>
    <col min="9730" max="9730" width="35.42578125" style="68" customWidth="1"/>
    <col min="9731" max="9731" width="12" style="68" customWidth="1"/>
    <col min="9732" max="9984" width="15.85546875" style="68"/>
    <col min="9985" max="9985" width="9.42578125" style="68" customWidth="1"/>
    <col min="9986" max="9986" width="35.42578125" style="68" customWidth="1"/>
    <col min="9987" max="9987" width="12" style="68" customWidth="1"/>
    <col min="9988" max="10240" width="15.85546875" style="68"/>
    <col min="10241" max="10241" width="9.42578125" style="68" customWidth="1"/>
    <col min="10242" max="10242" width="35.42578125" style="68" customWidth="1"/>
    <col min="10243" max="10243" width="12" style="68" customWidth="1"/>
    <col min="10244" max="10496" width="15.85546875" style="68"/>
    <col min="10497" max="10497" width="9.42578125" style="68" customWidth="1"/>
    <col min="10498" max="10498" width="35.42578125" style="68" customWidth="1"/>
    <col min="10499" max="10499" width="12" style="68" customWidth="1"/>
    <col min="10500" max="10752" width="15.85546875" style="68"/>
    <col min="10753" max="10753" width="9.42578125" style="68" customWidth="1"/>
    <col min="10754" max="10754" width="35.42578125" style="68" customWidth="1"/>
    <col min="10755" max="10755" width="12" style="68" customWidth="1"/>
    <col min="10756" max="11008" width="15.85546875" style="68"/>
    <col min="11009" max="11009" width="9.42578125" style="68" customWidth="1"/>
    <col min="11010" max="11010" width="35.42578125" style="68" customWidth="1"/>
    <col min="11011" max="11011" width="12" style="68" customWidth="1"/>
    <col min="11012" max="11264" width="15.85546875" style="68"/>
    <col min="11265" max="11265" width="9.42578125" style="68" customWidth="1"/>
    <col min="11266" max="11266" width="35.42578125" style="68" customWidth="1"/>
    <col min="11267" max="11267" width="12" style="68" customWidth="1"/>
    <col min="11268" max="11520" width="15.85546875" style="68"/>
    <col min="11521" max="11521" width="9.42578125" style="68" customWidth="1"/>
    <col min="11522" max="11522" width="35.42578125" style="68" customWidth="1"/>
    <col min="11523" max="11523" width="12" style="68" customWidth="1"/>
    <col min="11524" max="11776" width="15.85546875" style="68"/>
    <col min="11777" max="11777" width="9.42578125" style="68" customWidth="1"/>
    <col min="11778" max="11778" width="35.42578125" style="68" customWidth="1"/>
    <col min="11779" max="11779" width="12" style="68" customWidth="1"/>
    <col min="11780" max="12032" width="15.85546875" style="68"/>
    <col min="12033" max="12033" width="9.42578125" style="68" customWidth="1"/>
    <col min="12034" max="12034" width="35.42578125" style="68" customWidth="1"/>
    <col min="12035" max="12035" width="12" style="68" customWidth="1"/>
    <col min="12036" max="12288" width="15.85546875" style="68"/>
    <col min="12289" max="12289" width="9.42578125" style="68" customWidth="1"/>
    <col min="12290" max="12290" width="35.42578125" style="68" customWidth="1"/>
    <col min="12291" max="12291" width="12" style="68" customWidth="1"/>
    <col min="12292" max="12544" width="15.85546875" style="68"/>
    <col min="12545" max="12545" width="9.42578125" style="68" customWidth="1"/>
    <col min="12546" max="12546" width="35.42578125" style="68" customWidth="1"/>
    <col min="12547" max="12547" width="12" style="68" customWidth="1"/>
    <col min="12548" max="12800" width="15.85546875" style="68"/>
    <col min="12801" max="12801" width="9.42578125" style="68" customWidth="1"/>
    <col min="12802" max="12802" width="35.42578125" style="68" customWidth="1"/>
    <col min="12803" max="12803" width="12" style="68" customWidth="1"/>
    <col min="12804" max="13056" width="15.85546875" style="68"/>
    <col min="13057" max="13057" width="9.42578125" style="68" customWidth="1"/>
    <col min="13058" max="13058" width="35.42578125" style="68" customWidth="1"/>
    <col min="13059" max="13059" width="12" style="68" customWidth="1"/>
    <col min="13060" max="13312" width="15.85546875" style="68"/>
    <col min="13313" max="13313" width="9.42578125" style="68" customWidth="1"/>
    <col min="13314" max="13314" width="35.42578125" style="68" customWidth="1"/>
    <col min="13315" max="13315" width="12" style="68" customWidth="1"/>
    <col min="13316" max="13568" width="15.85546875" style="68"/>
    <col min="13569" max="13569" width="9.42578125" style="68" customWidth="1"/>
    <col min="13570" max="13570" width="35.42578125" style="68" customWidth="1"/>
    <col min="13571" max="13571" width="12" style="68" customWidth="1"/>
    <col min="13572" max="13824" width="15.85546875" style="68"/>
    <col min="13825" max="13825" width="9.42578125" style="68" customWidth="1"/>
    <col min="13826" max="13826" width="35.42578125" style="68" customWidth="1"/>
    <col min="13827" max="13827" width="12" style="68" customWidth="1"/>
    <col min="13828" max="14080" width="15.85546875" style="68"/>
    <col min="14081" max="14081" width="9.42578125" style="68" customWidth="1"/>
    <col min="14082" max="14082" width="35.42578125" style="68" customWidth="1"/>
    <col min="14083" max="14083" width="12" style="68" customWidth="1"/>
    <col min="14084" max="14336" width="15.85546875" style="68"/>
    <col min="14337" max="14337" width="9.42578125" style="68" customWidth="1"/>
    <col min="14338" max="14338" width="35.42578125" style="68" customWidth="1"/>
    <col min="14339" max="14339" width="12" style="68" customWidth="1"/>
    <col min="14340" max="14592" width="15.85546875" style="68"/>
    <col min="14593" max="14593" width="9.42578125" style="68" customWidth="1"/>
    <col min="14594" max="14594" width="35.42578125" style="68" customWidth="1"/>
    <col min="14595" max="14595" width="12" style="68" customWidth="1"/>
    <col min="14596" max="14848" width="15.85546875" style="68"/>
    <col min="14849" max="14849" width="9.42578125" style="68" customWidth="1"/>
    <col min="14850" max="14850" width="35.42578125" style="68" customWidth="1"/>
    <col min="14851" max="14851" width="12" style="68" customWidth="1"/>
    <col min="14852" max="15104" width="15.85546875" style="68"/>
    <col min="15105" max="15105" width="9.42578125" style="68" customWidth="1"/>
    <col min="15106" max="15106" width="35.42578125" style="68" customWidth="1"/>
    <col min="15107" max="15107" width="12" style="68" customWidth="1"/>
    <col min="15108" max="15360" width="15.85546875" style="68"/>
    <col min="15361" max="15361" width="9.42578125" style="68" customWidth="1"/>
    <col min="15362" max="15362" width="35.42578125" style="68" customWidth="1"/>
    <col min="15363" max="15363" width="12" style="68" customWidth="1"/>
    <col min="15364" max="15616" width="15.85546875" style="68"/>
    <col min="15617" max="15617" width="9.42578125" style="68" customWidth="1"/>
    <col min="15618" max="15618" width="35.42578125" style="68" customWidth="1"/>
    <col min="15619" max="15619" width="12" style="68" customWidth="1"/>
    <col min="15620" max="15872" width="15.85546875" style="68"/>
    <col min="15873" max="15873" width="9.42578125" style="68" customWidth="1"/>
    <col min="15874" max="15874" width="35.42578125" style="68" customWidth="1"/>
    <col min="15875" max="15875" width="12" style="68" customWidth="1"/>
    <col min="15876" max="16128" width="15.85546875" style="68"/>
    <col min="16129" max="16129" width="9.42578125" style="68" customWidth="1"/>
    <col min="16130" max="16130" width="35.42578125" style="68" customWidth="1"/>
    <col min="16131" max="16131" width="12" style="68" customWidth="1"/>
    <col min="16132" max="16384" width="15.85546875" style="68"/>
  </cols>
  <sheetData>
    <row r="3" spans="1:9" s="262" customFormat="1" ht="15.75">
      <c r="A3" s="262" t="s">
        <v>331</v>
      </c>
      <c r="H3" s="144"/>
      <c r="I3" s="142"/>
    </row>
    <row r="4" spans="1:9" s="262" customFormat="1" ht="15.75">
      <c r="A4" s="262" t="s">
        <v>332</v>
      </c>
      <c r="C4" s="262">
        <v>2012</v>
      </c>
      <c r="H4" s="144"/>
      <c r="I4" s="142"/>
    </row>
    <row r="6" spans="1:9">
      <c r="A6" s="68" t="s">
        <v>424</v>
      </c>
    </row>
    <row r="7" spans="1:9" ht="17.25" thickBot="1"/>
    <row r="8" spans="1:9" s="262" customFormat="1" thickBot="1">
      <c r="A8" s="273"/>
      <c r="B8" s="274" t="s">
        <v>352</v>
      </c>
      <c r="C8" s="274"/>
      <c r="D8" s="274"/>
      <c r="E8" s="274"/>
      <c r="F8" s="275"/>
      <c r="H8" s="144"/>
      <c r="I8" s="142"/>
    </row>
    <row r="9" spans="1:9" s="262" customFormat="1" ht="15.75">
      <c r="A9" s="276" t="s">
        <v>353</v>
      </c>
      <c r="B9" s="276" t="s">
        <v>425</v>
      </c>
      <c r="C9" s="276" t="s">
        <v>355</v>
      </c>
      <c r="D9" s="276" t="s">
        <v>356</v>
      </c>
      <c r="E9" s="276" t="s">
        <v>357</v>
      </c>
      <c r="F9" s="276" t="s">
        <v>358</v>
      </c>
      <c r="H9" s="144"/>
      <c r="I9" s="142"/>
    </row>
    <row r="10" spans="1:9" s="262" customFormat="1" thickBot="1">
      <c r="A10" s="277"/>
      <c r="B10" s="277"/>
      <c r="C10" s="277" t="s">
        <v>359</v>
      </c>
      <c r="D10" s="277" t="s">
        <v>360</v>
      </c>
      <c r="E10" s="277">
        <v>2012</v>
      </c>
      <c r="F10" s="277">
        <v>2011</v>
      </c>
      <c r="H10" s="144"/>
      <c r="I10" s="142"/>
    </row>
    <row r="11" spans="1:9" s="262" customFormat="1" ht="15.75">
      <c r="A11" s="286">
        <v>1</v>
      </c>
      <c r="B11" s="262" t="s">
        <v>426</v>
      </c>
      <c r="C11" s="262">
        <v>70</v>
      </c>
      <c r="D11" s="262">
        <v>11100</v>
      </c>
      <c r="E11" s="287">
        <f>+E12+E13+E14+E15</f>
        <v>656922025</v>
      </c>
      <c r="F11" s="287">
        <f>+F12+F13+F14+F15</f>
        <v>356259925</v>
      </c>
      <c r="H11" s="144"/>
      <c r="I11" s="142"/>
    </row>
    <row r="12" spans="1:9">
      <c r="A12" s="288" t="s">
        <v>362</v>
      </c>
      <c r="B12" s="68" t="s">
        <v>427</v>
      </c>
      <c r="C12" s="68">
        <v>703</v>
      </c>
      <c r="D12" s="68">
        <v>11101</v>
      </c>
      <c r="E12" s="289"/>
      <c r="F12" s="289"/>
    </row>
    <row r="13" spans="1:9">
      <c r="A13" s="288" t="s">
        <v>365</v>
      </c>
      <c r="B13" s="68" t="s">
        <v>428</v>
      </c>
      <c r="C13" s="68">
        <v>704</v>
      </c>
      <c r="D13" s="68">
        <v>11102</v>
      </c>
      <c r="E13" s="289"/>
      <c r="F13" s="289"/>
    </row>
    <row r="14" spans="1:9">
      <c r="A14" s="288" t="s">
        <v>367</v>
      </c>
      <c r="B14" s="68" t="s">
        <v>429</v>
      </c>
      <c r="C14" s="68">
        <v>705</v>
      </c>
      <c r="D14" s="68">
        <v>11103</v>
      </c>
      <c r="E14" s="289">
        <v>656922025</v>
      </c>
      <c r="F14" s="289">
        <v>356259925</v>
      </c>
      <c r="H14" s="144">
        <v>33836909</v>
      </c>
      <c r="I14" s="142" t="s">
        <v>430</v>
      </c>
    </row>
    <row r="15" spans="1:9">
      <c r="A15" s="288" t="s">
        <v>431</v>
      </c>
      <c r="B15" s="68" t="s">
        <v>432</v>
      </c>
      <c r="E15" s="289"/>
      <c r="F15" s="289"/>
      <c r="H15" s="144">
        <v>2315833</v>
      </c>
      <c r="I15" s="142" t="s">
        <v>433</v>
      </c>
    </row>
    <row r="16" spans="1:9" s="262" customFormat="1" ht="15.75">
      <c r="A16" s="286">
        <v>2</v>
      </c>
      <c r="B16" s="262" t="s">
        <v>434</v>
      </c>
      <c r="C16" s="262">
        <v>708</v>
      </c>
      <c r="D16" s="262">
        <v>11104</v>
      </c>
      <c r="E16" s="287">
        <f>+E17+E18+E19</f>
        <v>0</v>
      </c>
      <c r="F16" s="287">
        <f>+F17+F18+F19</f>
        <v>0</v>
      </c>
      <c r="H16" s="144">
        <v>13987000</v>
      </c>
      <c r="I16" s="142" t="s">
        <v>435</v>
      </c>
    </row>
    <row r="17" spans="1:9">
      <c r="A17" s="288" t="s">
        <v>362</v>
      </c>
      <c r="B17" s="68" t="s">
        <v>436</v>
      </c>
      <c r="C17" s="68">
        <v>7081</v>
      </c>
      <c r="D17" s="68">
        <v>111041</v>
      </c>
      <c r="E17" s="289"/>
      <c r="F17" s="289"/>
      <c r="H17" s="144">
        <v>10300654</v>
      </c>
      <c r="I17" s="142" t="s">
        <v>437</v>
      </c>
    </row>
    <row r="18" spans="1:9">
      <c r="A18" s="288" t="s">
        <v>365</v>
      </c>
      <c r="B18" s="68" t="s">
        <v>438</v>
      </c>
      <c r="C18" s="68">
        <v>7082</v>
      </c>
      <c r="D18" s="68">
        <v>111042</v>
      </c>
      <c r="E18" s="289"/>
      <c r="F18" s="289"/>
      <c r="H18" s="144">
        <v>11746581</v>
      </c>
      <c r="I18" s="142" t="s">
        <v>439</v>
      </c>
    </row>
    <row r="19" spans="1:9">
      <c r="A19" s="288" t="s">
        <v>367</v>
      </c>
      <c r="B19" s="68" t="s">
        <v>440</v>
      </c>
      <c r="C19" s="68">
        <v>7083</v>
      </c>
      <c r="D19" s="68">
        <v>111043</v>
      </c>
      <c r="E19" s="289"/>
      <c r="F19" s="289"/>
      <c r="H19" s="144">
        <f>SUM(H14:H18)</f>
        <v>72186977</v>
      </c>
    </row>
    <row r="20" spans="1:9" s="262" customFormat="1" ht="15.75">
      <c r="A20" s="286">
        <v>3</v>
      </c>
      <c r="B20" s="262" t="s">
        <v>441</v>
      </c>
      <c r="C20" s="262">
        <v>71</v>
      </c>
      <c r="D20" s="262">
        <v>11201</v>
      </c>
      <c r="E20" s="287"/>
      <c r="F20" s="287"/>
      <c r="H20" s="144">
        <f>-E14</f>
        <v>-656922025</v>
      </c>
      <c r="I20" s="142"/>
    </row>
    <row r="21" spans="1:9">
      <c r="A21" s="288"/>
      <c r="B21" s="288" t="s">
        <v>442</v>
      </c>
      <c r="D21" s="68">
        <v>112011</v>
      </c>
      <c r="E21" s="289"/>
      <c r="F21" s="289"/>
    </row>
    <row r="22" spans="1:9">
      <c r="A22" s="288"/>
      <c r="B22" s="288" t="s">
        <v>443</v>
      </c>
      <c r="D22" s="68">
        <v>112012</v>
      </c>
      <c r="E22" s="289"/>
      <c r="F22" s="289"/>
    </row>
    <row r="23" spans="1:9" s="262" customFormat="1" ht="15.75">
      <c r="A23" s="286">
        <v>4</v>
      </c>
      <c r="B23" s="262" t="s">
        <v>444</v>
      </c>
      <c r="C23" s="262">
        <v>72</v>
      </c>
      <c r="D23" s="262">
        <v>11300</v>
      </c>
      <c r="E23" s="287">
        <f>+E25+E26+E27</f>
        <v>72186977</v>
      </c>
      <c r="F23" s="287">
        <f>+F25+F26+F27</f>
        <v>0</v>
      </c>
      <c r="H23" s="144"/>
      <c r="I23" s="142"/>
    </row>
    <row r="24" spans="1:9">
      <c r="B24" s="68" t="s">
        <v>445</v>
      </c>
      <c r="D24" s="68">
        <v>11301</v>
      </c>
      <c r="E24" s="289"/>
      <c r="F24" s="289"/>
    </row>
    <row r="25" spans="1:9">
      <c r="A25" s="68">
        <v>5</v>
      </c>
      <c r="B25" s="68" t="s">
        <v>446</v>
      </c>
      <c r="C25" s="68">
        <v>73</v>
      </c>
      <c r="D25" s="68">
        <v>11400</v>
      </c>
      <c r="E25" s="289"/>
      <c r="F25" s="289"/>
    </row>
    <row r="26" spans="1:9">
      <c r="A26" s="68">
        <v>6</v>
      </c>
      <c r="B26" s="68" t="s">
        <v>447</v>
      </c>
      <c r="C26" s="68">
        <v>75</v>
      </c>
      <c r="D26" s="68">
        <v>11500</v>
      </c>
      <c r="E26" s="289">
        <f>+H14+H17+H18</f>
        <v>55884144</v>
      </c>
      <c r="F26" s="289"/>
    </row>
    <row r="27" spans="1:9" ht="17.25" thickBot="1">
      <c r="A27" s="68">
        <v>7</v>
      </c>
      <c r="B27" s="68" t="s">
        <v>448</v>
      </c>
      <c r="C27" s="68">
        <v>77</v>
      </c>
      <c r="D27" s="68">
        <v>11600</v>
      </c>
      <c r="E27" s="289">
        <f>+H15+H16</f>
        <v>16302833</v>
      </c>
      <c r="F27" s="289"/>
    </row>
    <row r="28" spans="1:9" s="262" customFormat="1" thickBot="1">
      <c r="A28" s="273" t="s">
        <v>8</v>
      </c>
      <c r="B28" s="274" t="s">
        <v>449</v>
      </c>
      <c r="C28" s="274"/>
      <c r="D28" s="274">
        <v>11800</v>
      </c>
      <c r="E28" s="290">
        <f>+E11+E16+E23</f>
        <v>729109002</v>
      </c>
      <c r="F28" s="290">
        <f>+F11+F16+F23</f>
        <v>356259925</v>
      </c>
      <c r="H28" s="144"/>
      <c r="I28" s="142"/>
    </row>
    <row r="29" spans="1:9">
      <c r="E29" s="289"/>
      <c r="F29" s="289"/>
    </row>
    <row r="30" spans="1:9">
      <c r="E30" s="289"/>
      <c r="F30" s="289"/>
    </row>
    <row r="31" spans="1:9">
      <c r="B31" s="68" t="s">
        <v>450</v>
      </c>
      <c r="E31" s="289"/>
    </row>
    <row r="32" spans="1:9">
      <c r="B32" s="68" t="s">
        <v>451</v>
      </c>
    </row>
    <row r="33" spans="2:2">
      <c r="B33" s="68" t="s">
        <v>452</v>
      </c>
    </row>
    <row r="34" spans="2:2">
      <c r="B34" s="68" t="s">
        <v>453</v>
      </c>
    </row>
    <row r="35" spans="2:2">
      <c r="B35" s="68" t="s">
        <v>454</v>
      </c>
    </row>
    <row r="36" spans="2:2">
      <c r="B36" s="68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kopertina</vt:lpstr>
      <vt:lpstr>aktiv</vt:lpstr>
      <vt:lpstr>pasivi</vt:lpstr>
      <vt:lpstr>ardh nat</vt:lpstr>
      <vt:lpstr>nd kap</vt:lpstr>
      <vt:lpstr>fluk.m.d</vt:lpstr>
      <vt:lpstr>AAM12</vt:lpstr>
      <vt:lpstr>P2</vt:lpstr>
      <vt:lpstr>P1</vt:lpstr>
      <vt:lpstr>Shp.tjera</vt:lpstr>
      <vt:lpstr>amort</vt:lpstr>
      <vt:lpstr>shpjegus</vt:lpstr>
      <vt:lpstr>shpjegime</vt:lpstr>
      <vt:lpstr>Sheet9</vt:lpstr>
      <vt:lpstr>bilanci konsol.akt</vt:lpstr>
      <vt:lpstr>bil.koss pasiv</vt:lpstr>
      <vt:lpstr>ardh nat kons </vt:lpstr>
      <vt:lpstr> fluk.par.kons</vt:lpstr>
      <vt:lpstr>nd kap kosova </vt:lpstr>
      <vt:lpstr>akt-apsnkosova</vt:lpstr>
      <vt:lpstr>pash kosova </vt:lpstr>
      <vt:lpstr>fluks.parave kosova</vt:lpstr>
      <vt:lpstr>Sheet1</vt:lpstr>
      <vt:lpstr>Sheet2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Titi</cp:lastModifiedBy>
  <cp:lastPrinted>2013-03-28T17:39:26Z</cp:lastPrinted>
  <dcterms:created xsi:type="dcterms:W3CDTF">2013-03-28T07:15:44Z</dcterms:created>
  <dcterms:modified xsi:type="dcterms:W3CDTF">2013-07-11T05:59:41Z</dcterms:modified>
</cp:coreProperties>
</file>